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H25" i="13" l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H8" i="15"/>
  <c r="B3"/>
  <c r="H10" i="20"/>
  <c r="B3"/>
  <c r="B3" i="17"/>
  <c r="D18" i="8" l="1"/>
  <c r="D15" i="26"/>
  <c r="H15" s="1"/>
  <c r="I15" s="1"/>
  <c r="D15" i="9"/>
  <c r="D15" i="10"/>
  <c r="D18" i="3"/>
  <c r="B3" i="18" l="1"/>
  <c r="H47" i="14"/>
  <c r="H41"/>
  <c r="H27"/>
  <c r="H21"/>
  <c r="H33" s="1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s="1"/>
  <c r="P79" l="1"/>
  <c r="N79"/>
  <c r="P78"/>
  <c r="N78"/>
  <c r="P77"/>
  <c r="N77"/>
  <c r="N86"/>
  <c r="N83"/>
  <c r="P83"/>
  <c r="R36" i="12"/>
  <c r="R38" s="1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<sst xmlns="http://schemas.openxmlformats.org/spreadsheetml/2006/main" count="1451" uniqueCount="471">
  <si>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</si>
  <si>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</si>
  <si>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</si>
  <si>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</si>
  <si>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</si>
  <si>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</si>
  <si>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</si>
  <si>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</si>
  <si>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</si>
  <si>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</si>
  <si>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</si>
  <si>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</si>
  <si>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</si>
  <si>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</si>
  <si>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</si>
  <si>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</si>
  <si>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</si>
  <si>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</si>
  <si>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</si>
  <si>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</si>
  <si>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</si>
  <si>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</si>
  <si>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</si>
  <si>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</si>
  <si>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</si>
  <si>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</si>
  <si>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</si>
  <si>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</si>
  <si>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</si>
  <si>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</si>
  <si>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</si>
  <si>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</si>
  <si>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</si>
  <si>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</si>
  <si>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</si>
  <si>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</si>
  <si>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</si>
  <si>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</si>
  <si>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</si>
  <si>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</si>
  <si>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</si>
  <si>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</si>
  <si>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</si>
  <si>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</si>
  <si>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</si>
  <si>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</si>
  <si>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</si>
  <si>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</si>
  <si>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</si>
  <si>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</si>
  <si>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</si>
  <si>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</si>
  <si>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</si>
  <si>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</si>
  <si>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</si>
  <si>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</si>
  <si>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</si>
  <si>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</si>
  <si>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</si>
  <si>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</si>
  <si>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</si>
  <si>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</si>
  <si>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</si>
  <si>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</si>
  <si>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</si>
  <si>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</si>
  <si>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</si>
  <si>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</si>
  <si>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</si>
  <si>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</si>
  <si>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</si>
  <si>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</si>
  <si>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</si>
  <si>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</si>
  <si>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</si>
  <si>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</si>
  <si>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</si>
  <si>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</si>
  <si>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</si>
  <si>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</si>
  <si>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</si>
  <si>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</si>
  <si>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</si>
  <si>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</si>
  <si>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</si>
  <si>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</si>
  <si>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</si>
  <si>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</si>
  <si>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</si>
  <si>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</si>
  <si>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</si>
  <si>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</si>
  <si>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</si>
  <si>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</si>
  <si>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</si>
  <si>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</si>
  <si>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</si>
  <si>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</si>
  <si>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</si>
  <si>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</si>
  <si>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</si>
  <si>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</si>
  <si>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</si>
  <si>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</si>
  <si>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</si>
  <si>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</si>
  <si>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</si>
  <si>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</si>
  <si>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</si>
  <si>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</si>
  <si>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</si>
  <si>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</si>
  <si>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</si>
  <si>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</si>
  <si>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</si>
  <si>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</si>
  <si>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</si>
  <si>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</si>
  <si>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</si>
  <si>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</si>
  <si>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</si>
  <si>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</si>
  <si>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</si>
  <si>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</si>
  <si>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</si>
  <si>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</si>
  <si>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</si>
  <si>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</si>
  <si>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</si>
  <si>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</si>
  <si>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</si>
  <si>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</si>
  <si>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</si>
  <si>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</si>
  <si>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</si>
  <si>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</si>
  <si>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</si>
  <si>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</si>
  <si>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</si>
  <si>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</si>
  <si>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</si>
  <si>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</si>
  <si>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</si>
  <si>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</si>
  <si>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</si>
  <si>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</si>
  <si>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</si>
  <si>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</si>
  <si>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</si>
  <si>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</si>
  <si>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</si>
  <si>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</si>
  <si>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</si>
  <si>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</si>
  <si>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</si>
  <si>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</si>
  <si>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</si>
  <si>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</si>
  <si>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</si>
  <si>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</si>
  <si>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</si>
  <si>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</si>
  <si>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</si>
  <si>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</si>
  <si>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</si>
  <si>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</si>
  <si>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</si>
  <si>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</si>
  <si>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</si>
  <si>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</si>
  <si>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</si>
  <si>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</si>
  <si>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</si>
  <si>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</si>
  <si>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</si>
  <si>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</si>
  <si>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</si>
  <si>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</si>
  <si>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</si>
  <si>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</si>
  <si>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</si>
  <si>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</si>
  <si>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</si>
  <si>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</si>
  <si>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</si>
  <si>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</si>
  <si>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</si>
  <si>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</si>
  <si>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</si>
  <si>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</si>
  <si>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</si>
  <si>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</si>
  <si>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</si>
  <si>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</si>
  <si>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</si>
  <si>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</si>
  <si>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</si>
  <si>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</si>
  <si>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</si>
  <si>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</si>
  <si>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</si>
  <si>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</si>
  <si>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</si>
  <si>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</si>
  <si>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</si>
  <si>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</si>
  <si>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</si>
  <si>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</si>
  <si>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</si>
  <si>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</si>
  <si>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</si>
  <si>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</si>
  <si>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</si>
  <si>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</si>
  <si>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</si>
  <si>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</si>
  <si>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</si>
  <si>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</si>
  <si>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</si>
  <si>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</si>
  <si>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</si>
  <si>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</si>
  <si>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</si>
  <si>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</si>
  <si>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</si>
  <si>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</si>
  <si>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</si>
  <si>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</si>
  <si>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</si>
  <si>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</si>
  <si>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</si>
  <si>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</si>
  <si>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</si>
  <si>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</si>
  <si>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</si>
  <si>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</si>
  <si>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</si>
  <si>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</si>
  <si>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</si>
  <si>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</si>
  <si>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</si>
  <si>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</si>
  <si>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</si>
  <si>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</si>
  <si>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</si>
  <si>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</si>
  <si>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</si>
  <si>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</si>
  <si>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</si>
  <si>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</si>
  <si>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</si>
  <si>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</si>
  <si>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</si>
  <si>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</si>
  <si>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</si>
  <si>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</si>
  <si>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</si>
  <si>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</si>
  <si>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</si>
  <si>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</si>
  <si>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</si>
  <si>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</si>
  <si>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</si>
  <si>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</si>
  <si>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</si>
  <si>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</si>
  <si>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</si>
  <si>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</si>
  <si>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</si>
  <si>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</si>
  <si>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</si>
  <si>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</si>
  <si>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</si>
  <si>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</si>
  <si>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</si>
  <si>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</si>
  <si>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</si>
  <si>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</si>
  <si>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</si>
  <si>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</si>
  <si>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</si>
  <si>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</si>
  <si>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</si>
  <si>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</si>
  <si>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</si>
  <si>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</si>
  <si>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</si>
  <si>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</si>
  <si>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</si>
  <si>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</si>
  <si>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</si>
  <si>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</si>
  <si>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</si>
  <si>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</si>
  <si>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</si>
  <si>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</si>
  <si>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</si>
  <si>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</si>
  <si>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</si>
  <si>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</si>
  <si>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</si>
  <si>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</si>
  <si>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</si>
  <si>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</si>
  <si>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</si>
  <si>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</si>
  <si>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</si>
  <si>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</si>
  <si>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</si>
  <si>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</si>
  <si>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</si>
  <si>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</si>
  <si>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</si>
  <si>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</si>
  <si>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</si>
  <si>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</si>
  <si>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</si>
  <si>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</si>
  <si>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</si>
  <si>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</si>
  <si>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</si>
  <si>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</si>
  <si>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</si>
  <si>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</si>
  <si>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</si>
  <si>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</si>
  <si>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</si>
  <si>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</si>
  <si>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</si>
  <si>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</si>
  <si>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</si>
  <si>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</si>
  <si>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</si>
  <si>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</si>
  <si>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</si>
  <si>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</si>
  <si>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</si>
  <si>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</si>
  <si>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</si>
  <si>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</si>
  <si>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</si>
  <si>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</si>
  <si>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</si>
  <si>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</si>
  <si>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</si>
  <si>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</si>
  <si>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</si>
  <si>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</si>
  <si>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</si>
  <si>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</si>
  <si>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</si>
  <si>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</si>
  <si>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</si>
  <si>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</si>
  <si>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</si>
  <si>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</si>
  <si>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</si>
  <si>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</si>
  <si>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</si>
  <si>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</si>
  <si>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</si>
  <si>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</si>
  <si>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</si>
  <si>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</si>
  <si>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</si>
  <si>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</si>
  <si>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</si>
  <si>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</si>
  <si>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</si>
  <si>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</si>
  <si>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</si>
  <si>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</si>
  <si>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</si>
  <si>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</si>
  <si>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</si>
  <si>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</si>
  <si>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</si>
  <si>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</si>
  <si>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</si>
  <si>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</si>
  <si>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</si>
  <si>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</si>
  <si>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</si>
  <si>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</si>
  <si>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</si>
  <si>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</si>
  <si>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</si>
  <si>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</si>
  <si>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</si>
  <si>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</si>
  <si>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</si>
  <si>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</si>
  <si>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</si>
  <si>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</si>
  <si>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</si>
  <si>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</si>
  <si>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</si>
  <si>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</si>
  <si>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</si>
  <si>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</si>
  <si>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</si>
  <si>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</si>
  <si>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</si>
  <si>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</si>
  <si>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</si>
  <si>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</si>
  <si>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</si>
  <si>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</si>
  <si>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</si>
  <si>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</si>
  <si>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</si>
  <si>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</si>
  <si>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</si>
  <si>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</si>
  <si>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</si>
  <si>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</si>
  <si>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</si>
  <si>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</si>
  <si>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</si>
  <si>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</si>
  <si>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</si>
  <si>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</si>
  <si>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</si>
  <si>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</si>
  <si>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</si>
  <si>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</si>
  <si>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</si>
  <si>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</si>
  <si>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</si>
  <si>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</si>
  <si>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</si>
  <si>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</si>
  <si>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</si>
  <si>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</si>
  <si>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</si>
  <si>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</si>
  <si>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</si>
  <si>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</si>
  <si>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</si>
  <si>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</si>
  <si>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</si>
  <si>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</si>
  <si>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</si>
  <si>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</si>
  <si>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</si>
  <si>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</si>
  <si>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</si>
  <si>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</si>
  <si>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</si>
  <si>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</si>
  <si>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</si>
  <si>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</si>
  <si>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</si>
  <si>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</si>
  <si>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</si>
  <si>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</si>
  <si>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</si>
  <si>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</si>
  <si>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</si>
  <si>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</si>
  <si>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</si>
  <si>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</si>
  <si>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</si>
  <si>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</si>
  <si>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</si>
  <si>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</si>
  <si>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</si>
  <si>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</si>
  <si>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ул.Ленина , д.2А</t>
  </si>
  <si>
    <t>Размер платы на регулируемый период с 01.09.2026г. по 31.08.2027г.</t>
  </si>
  <si>
    <t>с.Чечеул, ул Ленина, д.2А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</si>
</sst>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abSelected="1" topLeftCell="A132" zoomScale="80" zoomScaleNormal="80" workbookViewId="0">
      <selection activeCell="Q138" sqref="Q138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49" t="s">
        <v>435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64.5" customHeight="1">
      <c r="B2" s="249" t="s">
        <v>468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ht="18.75">
      <c r="B3" s="249" t="s">
        <v>446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0" t="s">
        <v>335</v>
      </c>
      <c r="C5" s="251"/>
      <c r="D5" s="252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4">
        <v>2680.1</v>
      </c>
      <c r="P6" s="255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6">
        <v>31.77</v>
      </c>
      <c r="P9" s="257"/>
      <c r="Q9" s="119"/>
    </row>
    <row r="10" spans="1:17" s="51" customFormat="1" ht="35.25" customHeight="1">
      <c r="A10" s="115" t="s">
        <v>16</v>
      </c>
      <c r="B10" s="236" t="s">
        <v>469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5">
        <v>36</v>
      </c>
      <c r="P10" s="246"/>
      <c r="Q10" s="119"/>
    </row>
    <row r="11" spans="1:17" s="51" customFormat="1" ht="49.5" customHeight="1">
      <c r="A11" s="115" t="s">
        <v>17</v>
      </c>
      <c r="B11" s="239" t="s">
        <v>448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2">
        <v>113.33</v>
      </c>
      <c r="P11" s="243"/>
      <c r="Q11" s="119"/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4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2"/>
      <c r="P13" s="243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2"/>
      <c r="P14" s="243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5"/>
      <c r="P15" s="246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3" t="s">
        <v>433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7" s="4" customFormat="1" ht="62.25" customHeight="1">
      <c r="A18" s="247" t="s">
        <v>69</v>
      </c>
      <c r="B18" s="220" t="s">
        <v>70</v>
      </c>
      <c r="C18" s="215" t="s">
        <v>80</v>
      </c>
      <c r="D18" s="215" t="s">
        <v>81</v>
      </c>
      <c r="E18" s="258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48"/>
      <c r="B19" s="221"/>
      <c r="C19" s="216"/>
      <c r="D19" s="216"/>
      <c r="E19" s="259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778099.50187555677</v>
      </c>
      <c r="F20" s="164">
        <f t="shared" si="0"/>
        <v>234986.05914555164</v>
      </c>
      <c r="G20" s="164">
        <f t="shared" si="0"/>
        <v>43860.981288357027</v>
      </c>
      <c r="H20" s="164">
        <f t="shared" si="0"/>
        <v>22376.15</v>
      </c>
      <c r="I20" s="164">
        <f t="shared" si="0"/>
        <v>40068.386196972111</v>
      </c>
      <c r="J20" s="164">
        <f t="shared" si="0"/>
        <v>0</v>
      </c>
      <c r="K20" s="164">
        <f t="shared" si="0"/>
        <v>32228.739496876213</v>
      </c>
      <c r="L20" s="164">
        <f t="shared" si="0"/>
        <v>0</v>
      </c>
      <c r="M20" s="164">
        <f t="shared" si="0"/>
        <v>1151619.8180033138</v>
      </c>
      <c r="N20" s="164">
        <f t="shared" si="0"/>
        <v>1146806.4046186076</v>
      </c>
      <c r="O20" s="164">
        <f t="shared" si="0"/>
        <v>1146806.4046186076</v>
      </c>
      <c r="P20" s="164">
        <f t="shared" si="0"/>
        <v>35.658072603590895</v>
      </c>
      <c r="Q20" s="120">
        <f>O20/O6/12</f>
        <v>35.658072603590902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10185.500792985831</v>
      </c>
      <c r="F21" s="173">
        <f t="shared" ref="F21:M21" si="1">F22+F32+F43+F50+F54</f>
        <v>3076.0300000000007</v>
      </c>
      <c r="G21" s="173">
        <f t="shared" si="1"/>
        <v>30.7090815</v>
      </c>
      <c r="H21" s="173">
        <f t="shared" si="1"/>
        <v>2560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15852.239874485835</v>
      </c>
      <c r="N21" s="173">
        <f>N22+N32+N43+N50+N54</f>
        <v>15852.239874485835</v>
      </c>
      <c r="O21" s="173">
        <f>O22+O32+O43+O50+O54</f>
        <v>15852.239874485835</v>
      </c>
      <c r="P21" s="173">
        <f>P22+P32+P43+P50+P54</f>
        <v>0.49289951477201832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7825.3565881024997</v>
      </c>
      <c r="F22" s="180">
        <f t="shared" ref="F22:M22" si="2">SUM(F23:F31)</f>
        <v>2363.2600000000002</v>
      </c>
      <c r="G22" s="180">
        <f t="shared" si="2"/>
        <v>0</v>
      </c>
      <c r="H22" s="180">
        <f t="shared" si="2"/>
        <v>2560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12748.616588102503</v>
      </c>
      <c r="N22" s="180">
        <f>SUM(N23:N31)</f>
        <v>12748.616588102503</v>
      </c>
      <c r="O22" s="180">
        <f>SUM(O23:O31)</f>
        <v>12748.616588102503</v>
      </c>
      <c r="P22" s="180">
        <f>SUM(P23:P31)</f>
        <v>0.39639741639312281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1717.8061418525001</v>
      </c>
      <c r="F23" s="14">
        <f>'1.1.1. Осмотр несущ.констр.'!Q37</f>
        <v>518.78</v>
      </c>
      <c r="G23" s="12"/>
      <c r="H23" s="12"/>
      <c r="I23" s="14"/>
      <c r="J23" s="60"/>
      <c r="K23" s="23"/>
      <c r="L23" s="23"/>
      <c r="M23" s="24">
        <f t="shared" ref="M23:M31" si="3">SUM(E23:L23)</f>
        <v>2236.5861418525001</v>
      </c>
      <c r="N23" s="23">
        <f>O23</f>
        <v>2236.5861418525001</v>
      </c>
      <c r="O23" s="61">
        <f>'1.1.1. Осмотр несущ.констр.'!R37</f>
        <v>2236.5861418525001</v>
      </c>
      <c r="P23" s="61">
        <f>O23/O6/12</f>
        <v>6.9542994100111319E-2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242.97116574999998</v>
      </c>
      <c r="F24" s="14">
        <f>'1.1.1. Осмотр несущ.констр.'!Q42</f>
        <v>73.38</v>
      </c>
      <c r="G24" s="12"/>
      <c r="H24" s="12"/>
      <c r="I24" s="14"/>
      <c r="J24" s="60"/>
      <c r="K24" s="23"/>
      <c r="L24" s="23"/>
      <c r="M24" s="24">
        <f t="shared" si="3"/>
        <v>316.35116574999995</v>
      </c>
      <c r="N24" s="110">
        <f t="shared" ref="N24:N26" si="4">O24</f>
        <v>316.35116574999995</v>
      </c>
      <c r="O24" s="61">
        <f>'1.1.1. Осмотр несущ.констр.'!R42</f>
        <v>316.35116574999995</v>
      </c>
      <c r="P24" s="61">
        <f>O24/O6/12</f>
        <v>9.8364229490815001E-3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5702.5985033333336</v>
      </c>
      <c r="F25" s="14">
        <f>'1.1.1. Очистка подвала'!Q11</f>
        <v>1722.18</v>
      </c>
      <c r="G25" s="12"/>
      <c r="H25" s="14">
        <f>'1.1.1. Очистка подвала'!R14</f>
        <v>2560</v>
      </c>
      <c r="I25" s="14"/>
      <c r="J25" s="60"/>
      <c r="K25" s="23"/>
      <c r="L25" s="23"/>
      <c r="M25" s="24">
        <f t="shared" si="3"/>
        <v>9984.7785033333348</v>
      </c>
      <c r="N25" s="110">
        <f>'1.1.1. Очистка подвала'!R15</f>
        <v>9984.7785033333348</v>
      </c>
      <c r="O25" s="61">
        <f>N25</f>
        <v>9984.7785033333348</v>
      </c>
      <c r="P25" s="61">
        <f>O25/O6/12</f>
        <v>0.31046038404454235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161.98077716666666</v>
      </c>
      <c r="F26" s="14">
        <f>'1.1.1. Осмотр несущ.констр.'!Q48</f>
        <v>48.92</v>
      </c>
      <c r="G26" s="12"/>
      <c r="H26" s="12"/>
      <c r="I26" s="14"/>
      <c r="J26" s="60"/>
      <c r="K26" s="23"/>
      <c r="L26" s="23"/>
      <c r="M26" s="24">
        <f t="shared" si="3"/>
        <v>210.90077716666667</v>
      </c>
      <c r="N26" s="110">
        <f t="shared" si="4"/>
        <v>210.90077716666667</v>
      </c>
      <c r="O26" s="61">
        <f>'1.1.1. Осмотр несущ.констр.'!R48</f>
        <v>210.90077716666667</v>
      </c>
      <c r="P26" s="193">
        <f>O26/O6/12</f>
        <v>6.5576152993876676E-3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1393.9134570000001</v>
      </c>
      <c r="F32" s="180">
        <f t="shared" ref="F32:M32" si="5">SUM(F33:F42)</f>
        <v>420.96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1814.8734570000001</v>
      </c>
      <c r="N32" s="180">
        <f>SUM(N33:N42)</f>
        <v>1814.8734570000001</v>
      </c>
      <c r="O32" s="180">
        <f>SUM(O33:O42)</f>
        <v>1814.8734570000001</v>
      </c>
      <c r="P32" s="180">
        <f>SUM(P33:P42)</f>
        <v>5.6430526752733114E-2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1393.9134570000001</v>
      </c>
      <c r="F34" s="14">
        <f>'1.1.2. Осмотр кровли'!Q9</f>
        <v>420.96</v>
      </c>
      <c r="G34" s="12"/>
      <c r="H34" s="12"/>
      <c r="I34" s="14"/>
      <c r="J34" s="12"/>
      <c r="K34" s="23"/>
      <c r="L34" s="23"/>
      <c r="M34" s="24">
        <f t="shared" ref="M34:M90" si="6">SUM(E34:L34)</f>
        <v>1814.8734570000001</v>
      </c>
      <c r="N34" s="23">
        <f>O34</f>
        <v>1814.8734570000001</v>
      </c>
      <c r="O34" s="14">
        <f>'1.1.2. Осмотр кровли'!R9</f>
        <v>1814.8734570000001</v>
      </c>
      <c r="P34" s="14">
        <f>O34/O6/12</f>
        <v>5.6430526752733114E-2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0</v>
      </c>
      <c r="F35" s="14">
        <f>'1.1.2. Осмотр кровли'!Q15</f>
        <v>0</v>
      </c>
      <c r="G35" s="12"/>
      <c r="H35" s="12"/>
      <c r="I35" s="14"/>
      <c r="J35" s="12"/>
      <c r="K35" s="23"/>
      <c r="L35" s="23"/>
      <c r="M35" s="24">
        <f t="shared" si="6"/>
        <v>0</v>
      </c>
      <c r="N35" s="110">
        <f>O35</f>
        <v>0</v>
      </c>
      <c r="O35" s="14">
        <f>'1.1.2. Осмотр кровли'!R15</f>
        <v>0</v>
      </c>
      <c r="P35" s="61">
        <f>O35/O6/12</f>
        <v>0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220.88044150000002</v>
      </c>
      <c r="F43" s="180">
        <f t="shared" ref="F43:M43" si="7">SUM(F44:F49)</f>
        <v>66.709999999999994</v>
      </c>
      <c r="G43" s="180">
        <f t="shared" si="7"/>
        <v>30.7090815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318.29952300000002</v>
      </c>
      <c r="N43" s="180">
        <f>SUM(N44:N49)</f>
        <v>318.29952300000002</v>
      </c>
      <c r="O43" s="180">
        <f>SUM(O44:O49)</f>
        <v>318.29952300000002</v>
      </c>
      <c r="P43" s="188">
        <f>SUM(P44:P49)</f>
        <v>9.897003936420283E-3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220.88044150000002</v>
      </c>
      <c r="F44" s="14">
        <f>'1.1.3. Осмотр окон, дверей'!Q10</f>
        <v>66.709999999999994</v>
      </c>
      <c r="G44" s="12"/>
      <c r="H44" s="12"/>
      <c r="I44" s="14"/>
      <c r="J44" s="60"/>
      <c r="K44" s="23"/>
      <c r="L44" s="23"/>
      <c r="M44" s="24">
        <f t="shared" si="6"/>
        <v>287.5904415</v>
      </c>
      <c r="N44" s="23">
        <f>O44</f>
        <v>287.5904415</v>
      </c>
      <c r="O44" s="61">
        <f>'1.1.3. Осмотр окон, дверей'!R10</f>
        <v>287.5904415</v>
      </c>
      <c r="P44" s="61">
        <f>O44/O6/12</f>
        <v>8.942155190104847E-3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30.7090815</v>
      </c>
      <c r="H48" s="12"/>
      <c r="I48" s="14"/>
      <c r="J48" s="60"/>
      <c r="K48" s="23"/>
      <c r="L48" s="23"/>
      <c r="M48" s="24">
        <f t="shared" si="6"/>
        <v>30.7090815</v>
      </c>
      <c r="N48" s="110">
        <f>O48</f>
        <v>30.7090815</v>
      </c>
      <c r="O48" s="14">
        <f>'1.1.3. Осмотр окон, дверей'!R16</f>
        <v>30.7090815</v>
      </c>
      <c r="P48" s="14">
        <f>O48/O6/12</f>
        <v>9.5484874631543599E-4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323.96155433333331</v>
      </c>
      <c r="F50" s="183">
        <f t="shared" ref="F50:M50" si="8">SUM(F51:F53)</f>
        <v>97.84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421.80155433333334</v>
      </c>
      <c r="N50" s="183">
        <f>SUM(N51:N53)</f>
        <v>421.80155433333334</v>
      </c>
      <c r="O50" s="183">
        <f>SUM(O51:O53)</f>
        <v>421.80155433333334</v>
      </c>
      <c r="P50" s="183">
        <f>SUM(P51:P53)</f>
        <v>1.3115230598775335E-2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323.96155433333331</v>
      </c>
      <c r="F51" s="14">
        <f>'1.1.4. Осмотр внут.отделки'!Q11</f>
        <v>97.84</v>
      </c>
      <c r="G51" s="12"/>
      <c r="H51" s="12"/>
      <c r="I51" s="14"/>
      <c r="J51" s="60"/>
      <c r="K51" s="23"/>
      <c r="L51" s="23"/>
      <c r="M51" s="24">
        <f t="shared" si="6"/>
        <v>421.80155433333334</v>
      </c>
      <c r="N51" s="23">
        <f>O51</f>
        <v>421.80155433333334</v>
      </c>
      <c r="O51" s="23">
        <f>'1.1.4. Осмотр внут.отделки'!R11</f>
        <v>421.80155433333334</v>
      </c>
      <c r="P51" s="23">
        <f>O51/O6/12</f>
        <v>1.3115230598775335E-2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421.38875205000011</v>
      </c>
      <c r="F54" s="180">
        <f t="shared" ref="F54:M54" si="9">SUM(F55:F57)</f>
        <v>127.26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548.6487520500001</v>
      </c>
      <c r="N54" s="180">
        <f>SUM(N55:N57)</f>
        <v>548.6487520500001</v>
      </c>
      <c r="O54" s="184">
        <f>SUM(O55:O57)</f>
        <v>548.6487520500001</v>
      </c>
      <c r="P54" s="184">
        <f>SUM(P55:P57)</f>
        <v>1.7059337090966759E-2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340.15963205000008</v>
      </c>
      <c r="F55" s="14">
        <f>'1.1.5. Вентиляция'!Q9</f>
        <v>102.73</v>
      </c>
      <c r="G55" s="12"/>
      <c r="H55" s="12"/>
      <c r="I55" s="14"/>
      <c r="J55" s="60"/>
      <c r="K55" s="23"/>
      <c r="L55" s="23"/>
      <c r="M55" s="24">
        <f>SUM(E55:L55)</f>
        <v>442.8896320500001</v>
      </c>
      <c r="N55" s="217">
        <f>O55</f>
        <v>548.6487520500001</v>
      </c>
      <c r="O55" s="217">
        <f>'1.1.5. Вентиляция'!R26</f>
        <v>548.6487520500001</v>
      </c>
      <c r="P55" s="217">
        <f>O55/O6/12</f>
        <v>1.7059337090966759E-2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81.229120000000023</v>
      </c>
      <c r="F56" s="14">
        <f>'1.1.5. Вентиляция'!Q16</f>
        <v>24.53</v>
      </c>
      <c r="G56" s="12"/>
      <c r="H56" s="12"/>
      <c r="I56" s="14"/>
      <c r="J56" s="60"/>
      <c r="K56" s="23"/>
      <c r="L56" s="23"/>
      <c r="M56" s="24">
        <f t="shared" ref="M56:M57" si="10">SUM(E56:L56)</f>
        <v>105.75912000000002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0</v>
      </c>
      <c r="F57" s="14">
        <f>'1.1.5. Вентиляция'!Q22</f>
        <v>0</v>
      </c>
      <c r="G57" s="12"/>
      <c r="H57" s="12"/>
      <c r="I57" s="14"/>
      <c r="J57" s="60"/>
      <c r="K57" s="23"/>
      <c r="L57" s="23"/>
      <c r="M57" s="24">
        <f t="shared" si="10"/>
        <v>0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190521.14280704159</v>
      </c>
      <c r="F58" s="173">
        <f t="shared" ref="F58:M58" si="11">F59+F68+F76+F92</f>
        <v>57537.385946341783</v>
      </c>
      <c r="G58" s="173">
        <f t="shared" si="11"/>
        <v>36370</v>
      </c>
      <c r="H58" s="173">
        <f t="shared" si="11"/>
        <v>19816.150000000001</v>
      </c>
      <c r="I58" s="173">
        <f t="shared" si="11"/>
        <v>0</v>
      </c>
      <c r="J58" s="173">
        <f t="shared" si="11"/>
        <v>0</v>
      </c>
      <c r="K58" s="173">
        <f t="shared" si="11"/>
        <v>6770.1866798579113</v>
      </c>
      <c r="L58" s="173">
        <f t="shared" si="11"/>
        <v>0</v>
      </c>
      <c r="M58" s="173">
        <f t="shared" si="11"/>
        <v>311014.86543324124</v>
      </c>
      <c r="N58" s="174">
        <f>N59+N68+N76+N92</f>
        <v>305654.86543324124</v>
      </c>
      <c r="O58" s="173">
        <f>O59+O68+O76+O92</f>
        <v>305654.86543324124</v>
      </c>
      <c r="P58" s="173">
        <f>P59+P68+P76+P92</f>
        <v>9.5038389560476979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8920.6980000000003</v>
      </c>
      <c r="F59" s="180">
        <f t="shared" ref="F59:M59" si="12">SUM(F60:F67)</f>
        <v>2694.05</v>
      </c>
      <c r="G59" s="180">
        <f t="shared" si="12"/>
        <v>5360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16974.748</v>
      </c>
      <c r="N59" s="185">
        <f>SUM(N60:N67)</f>
        <v>11614.748</v>
      </c>
      <c r="O59" s="180">
        <f>SUM(O60:O67)</f>
        <v>11614.748</v>
      </c>
      <c r="P59" s="180">
        <f>SUM(P60:P66)</f>
        <v>0.36114162406875366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652.73399999999992</v>
      </c>
      <c r="F60" s="14">
        <f>'1.2.1. Осмотр ХВС'!Q9</f>
        <v>197.13</v>
      </c>
      <c r="G60" s="5">
        <f>'1.2.1. Осмотр ХВС'!R30</f>
        <v>5360</v>
      </c>
      <c r="H60" s="12"/>
      <c r="I60" s="14"/>
      <c r="J60" s="12"/>
      <c r="K60" s="23"/>
      <c r="L60" s="23"/>
      <c r="M60" s="24">
        <f t="shared" si="6"/>
        <v>6209.8639999999996</v>
      </c>
      <c r="N60" s="14">
        <f>O60</f>
        <v>849.86399999999992</v>
      </c>
      <c r="O60" s="14">
        <f>'1.2.1. Осмотр ХВС'!R9</f>
        <v>849.86399999999992</v>
      </c>
      <c r="P60" s="14">
        <f>O60/O6/12</f>
        <v>2.6425133390545127E-2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1740.6240000000003</v>
      </c>
      <c r="F61" s="14">
        <f>'1.2.1. Осмотр ХВС'!Q15</f>
        <v>525.66999999999996</v>
      </c>
      <c r="G61" s="5"/>
      <c r="H61" s="12"/>
      <c r="I61" s="14"/>
      <c r="J61" s="12"/>
      <c r="K61" s="23"/>
      <c r="L61" s="23"/>
      <c r="M61" s="24">
        <f t="shared" si="6"/>
        <v>2266.2940000000003</v>
      </c>
      <c r="N61" s="14">
        <f>O61</f>
        <v>2266.2940000000003</v>
      </c>
      <c r="O61" s="14">
        <f>'1.2.1. Осмотр ХВС'!R15</f>
        <v>2266.2940000000003</v>
      </c>
      <c r="P61" s="14">
        <f>O61/O6/12</f>
        <v>7.0466711441115396E-2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3133.1232</v>
      </c>
      <c r="F62" s="14">
        <f>'1.2.1. Осмотр ХВС'!Q21</f>
        <v>946.2</v>
      </c>
      <c r="G62" s="9"/>
      <c r="H62" s="12"/>
      <c r="I62" s="14"/>
      <c r="J62" s="12"/>
      <c r="K62" s="23"/>
      <c r="L62" s="23"/>
      <c r="M62" s="24">
        <f t="shared" si="6"/>
        <v>4079.3231999999998</v>
      </c>
      <c r="N62" s="14">
        <f t="shared" ref="N62:N63" si="13">O62</f>
        <v>4079.3231999999998</v>
      </c>
      <c r="O62" s="8">
        <f>'1.2.1. Осмотр ХВС'!R21</f>
        <v>4079.3231999999998</v>
      </c>
      <c r="P62" s="8">
        <f>O62/O6/12</f>
        <v>0.12683989403380472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3394.2167999999997</v>
      </c>
      <c r="F63" s="14">
        <f>'1.2.1. Осмотр ХВС'!Q27</f>
        <v>1025.05</v>
      </c>
      <c r="G63" s="9"/>
      <c r="H63" s="12"/>
      <c r="I63" s="14"/>
      <c r="J63" s="12"/>
      <c r="K63" s="23"/>
      <c r="L63" s="23"/>
      <c r="M63" s="24">
        <f t="shared" si="6"/>
        <v>4419.2667999999994</v>
      </c>
      <c r="N63" s="14">
        <f t="shared" si="13"/>
        <v>4419.2667999999994</v>
      </c>
      <c r="O63" s="69">
        <f>'1.2.1. Осмотр ХВС'!R27</f>
        <v>4419.2667999999994</v>
      </c>
      <c r="P63" s="69">
        <f>O63/O6/12</f>
        <v>0.13740988520328842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1495.1361820499999</v>
      </c>
      <c r="F68" s="180">
        <f t="shared" ref="F68:M68" si="14">SUM(F69:F75)</f>
        <v>451.53000000000003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1946.6661820499999</v>
      </c>
      <c r="N68" s="185">
        <f>SUM(N69:N75)</f>
        <v>1946.6661820499999</v>
      </c>
      <c r="O68" s="185">
        <f>SUM(O69:O75)</f>
        <v>1946.6661820499999</v>
      </c>
      <c r="P68" s="185">
        <f>SUM(P69:P75)</f>
        <v>6.0528406342114101E-2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1087.8899999999999</v>
      </c>
      <c r="F69" s="14">
        <f>'1.2.2. Осмотр ВО'!Q9</f>
        <v>328.54</v>
      </c>
      <c r="G69" s="12"/>
      <c r="H69" s="12"/>
      <c r="I69" s="14"/>
      <c r="J69" s="60"/>
      <c r="K69" s="23"/>
      <c r="L69" s="23"/>
      <c r="M69" s="24">
        <f t="shared" si="6"/>
        <v>1416.4299999999998</v>
      </c>
      <c r="N69" s="23">
        <f>O69</f>
        <v>1416.4299999999998</v>
      </c>
      <c r="O69" s="61">
        <f>'1.2.2. Осмотр ВО'!R9</f>
        <v>1416.4299999999998</v>
      </c>
      <c r="P69" s="61">
        <f>O69/O6/12</f>
        <v>4.4041578050570247E-2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340.15963205000008</v>
      </c>
      <c r="F70" s="14">
        <f>'1.2.2. Осмотр ВО'!Q15</f>
        <v>102.73</v>
      </c>
      <c r="G70" s="12"/>
      <c r="H70" s="12"/>
      <c r="I70" s="14"/>
      <c r="J70" s="60"/>
      <c r="K70" s="23"/>
      <c r="L70" s="23"/>
      <c r="M70" s="24">
        <f t="shared" si="6"/>
        <v>442.8896320500001</v>
      </c>
      <c r="N70" s="110">
        <f>O70</f>
        <v>442.8896320500001</v>
      </c>
      <c r="O70" s="61">
        <f>'1.2.2. Осмотр ВО'!R15</f>
        <v>442.8896320500001</v>
      </c>
      <c r="P70" s="61">
        <f>O70/O6/12</f>
        <v>1.377092994197978E-2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67.086549999999988</v>
      </c>
      <c r="F75" s="14">
        <f>'1.2.2. Осмотр ВО'!Q21</f>
        <v>20.260000000000002</v>
      </c>
      <c r="G75" s="12"/>
      <c r="H75" s="12"/>
      <c r="I75" s="14"/>
      <c r="J75" s="60"/>
      <c r="K75" s="23"/>
      <c r="L75" s="23"/>
      <c r="M75" s="24">
        <f t="shared" si="6"/>
        <v>87.346549999999993</v>
      </c>
      <c r="N75" s="14">
        <f>O75</f>
        <v>87.346549999999993</v>
      </c>
      <c r="O75" s="61">
        <f>'1.2.2. Осмотр ВО'!R21</f>
        <v>87.346549999999993</v>
      </c>
      <c r="P75" s="61">
        <f>O75/O6/12</f>
        <v>2.7158983495640713E-3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71372.775027833341</v>
      </c>
      <c r="F76" s="180">
        <f t="shared" ref="F76:P76" si="15">SUM(F77:F91)</f>
        <v>21554.580800000003</v>
      </c>
      <c r="G76" s="180">
        <f t="shared" si="15"/>
        <v>25010</v>
      </c>
      <c r="H76" s="180">
        <f t="shared" si="15"/>
        <v>19816.150000000001</v>
      </c>
      <c r="I76" s="180">
        <f t="shared" si="15"/>
        <v>0</v>
      </c>
      <c r="J76" s="180">
        <f t="shared" si="15"/>
        <v>0</v>
      </c>
      <c r="K76" s="180">
        <f t="shared" si="15"/>
        <v>1333.5600000000004</v>
      </c>
      <c r="L76" s="180">
        <f t="shared" si="15"/>
        <v>0</v>
      </c>
      <c r="M76" s="180">
        <f t="shared" si="15"/>
        <v>139087.06582783334</v>
      </c>
      <c r="N76" s="180">
        <f t="shared" si="15"/>
        <v>139087.06582783334</v>
      </c>
      <c r="O76" s="180">
        <f t="shared" si="15"/>
        <v>139087.06582783334</v>
      </c>
      <c r="P76" s="180">
        <f t="shared" si="15"/>
        <v>4.3246852053976017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809.90388583333322</v>
      </c>
      <c r="F77" s="14">
        <f>'1.2.3. ЦО тех осмотры'!Q9</f>
        <v>244.59</v>
      </c>
      <c r="G77" s="12"/>
      <c r="H77" s="12"/>
      <c r="I77" s="14"/>
      <c r="J77" s="60"/>
      <c r="K77" s="23"/>
      <c r="L77" s="23"/>
      <c r="M77" s="24">
        <f>SUM(E77:L77)</f>
        <v>1054.4938858333333</v>
      </c>
      <c r="N77" s="23">
        <f>O77</f>
        <v>1054.4938858333333</v>
      </c>
      <c r="O77" s="61">
        <f>'1.2.3. ЦО тех осмотры'!R9</f>
        <v>1054.4938858333333</v>
      </c>
      <c r="P77" s="61">
        <f>O77/O6/12</f>
        <v>3.2787765563266708E-2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383.807592</v>
      </c>
      <c r="F78" s="14">
        <f>'1.2.3. ЦО тех осмотры'!Q16</f>
        <v>115.91</v>
      </c>
      <c r="G78" s="12"/>
      <c r="H78" s="12"/>
      <c r="I78" s="14"/>
      <c r="J78" s="60"/>
      <c r="K78" s="23"/>
      <c r="L78" s="23"/>
      <c r="M78" s="24">
        <f t="shared" si="6"/>
        <v>499.71759199999997</v>
      </c>
      <c r="N78" s="110">
        <f t="shared" ref="N78:N86" si="16">O78</f>
        <v>499.71759199999997</v>
      </c>
      <c r="O78" s="61">
        <f>'1.2.3. ЦО тех осмотры'!R16</f>
        <v>499.71759199999997</v>
      </c>
      <c r="P78" s="61">
        <f>O78/O6/12</f>
        <v>1.5537902565824657E-2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8650</v>
      </c>
      <c r="H79" s="12"/>
      <c r="I79" s="14"/>
      <c r="J79" s="60"/>
      <c r="K79" s="23"/>
      <c r="L79" s="23"/>
      <c r="M79" s="24">
        <f t="shared" si="6"/>
        <v>10538.58</v>
      </c>
      <c r="N79" s="110">
        <f t="shared" si="16"/>
        <v>10538.58</v>
      </c>
      <c r="O79" s="61">
        <f>'1.2.3. ЦО тех осмотры'!R22+'1.2.3. ЦО тех осмотры'!R37</f>
        <v>10538.58</v>
      </c>
      <c r="P79" s="61">
        <f>O79/O6/12</f>
        <v>0.32767993731577177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2480.3892000000001</v>
      </c>
      <c r="F83" s="14">
        <f>'1.2.3. ЦО тех осмотры'!Q28</f>
        <v>749.08</v>
      </c>
      <c r="G83" s="12"/>
      <c r="H83" s="12"/>
      <c r="I83" s="14"/>
      <c r="J83" s="60"/>
      <c r="K83" s="23"/>
      <c r="L83" s="23"/>
      <c r="M83" s="24">
        <f t="shared" si="6"/>
        <v>3229.4692</v>
      </c>
      <c r="N83" s="110">
        <f t="shared" si="16"/>
        <v>3229.4692</v>
      </c>
      <c r="O83" s="61">
        <f>'1.2.3. ЦО тех осмотры'!R28</f>
        <v>3229.4692</v>
      </c>
      <c r="P83" s="61">
        <f>O83/O6/12</f>
        <v>0.10041507157693121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8890.4000000000015</v>
      </c>
      <c r="F85" s="14">
        <f>'1.2.3. ЦО опрессовка'!H13</f>
        <v>2684.9008000000003</v>
      </c>
      <c r="G85" s="12"/>
      <c r="H85" s="14">
        <f>'1.2.3. ЦО опрессовка'!H14</f>
        <v>19816.150000000001</v>
      </c>
      <c r="I85" s="14">
        <f>'1.2.3. ЦО опрессовка'!H17</f>
        <v>0</v>
      </c>
      <c r="J85" s="60"/>
      <c r="K85" s="23">
        <f>'1.2.3. ЦО опрессовка'!H16</f>
        <v>1333.5600000000004</v>
      </c>
      <c r="L85" s="23"/>
      <c r="M85" s="24">
        <f t="shared" si="6"/>
        <v>32725.010800000004</v>
      </c>
      <c r="N85" s="110">
        <f t="shared" si="16"/>
        <v>32725.010800000004</v>
      </c>
      <c r="O85" s="61">
        <f>'1.2.3. ЦО опрессовка'!H18</f>
        <v>32725.010800000004</v>
      </c>
      <c r="P85" s="61">
        <f>O85/O6/12</f>
        <v>1.017530776214818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57021.754350000003</v>
      </c>
      <c r="F86" s="14">
        <f>'1.2.3. ЦО тех осмотры'!Q34</f>
        <v>17220.57</v>
      </c>
      <c r="G86" s="12"/>
      <c r="H86" s="12"/>
      <c r="I86" s="14"/>
      <c r="J86" s="60"/>
      <c r="K86" s="23"/>
      <c r="L86" s="23"/>
      <c r="M86" s="24">
        <f t="shared" si="6"/>
        <v>74242.32435000001</v>
      </c>
      <c r="N86" s="110">
        <f t="shared" si="16"/>
        <v>74242.32435000001</v>
      </c>
      <c r="O86" s="61">
        <f>'1.2.3. ЦО тех осмотры'!R34</f>
        <v>74242.32435000001</v>
      </c>
      <c r="P86" s="61">
        <f>O86/O6/12</f>
        <v>2.308443850042909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16360</v>
      </c>
      <c r="H91" s="12"/>
      <c r="I91" s="14"/>
      <c r="J91" s="60"/>
      <c r="K91" s="123"/>
      <c r="L91" s="123"/>
      <c r="M91" s="24">
        <f>SUM(E91:L91)</f>
        <v>16797.47</v>
      </c>
      <c r="N91" s="124">
        <f>'1.2.3. Замена труб отопления'!R13</f>
        <v>16797.47</v>
      </c>
      <c r="O91" s="124">
        <f>N91</f>
        <v>16797.47</v>
      </c>
      <c r="P91" s="124">
        <f>N91/O6/12</f>
        <v>0.52228990211808024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108732.53359715824</v>
      </c>
      <c r="F92" s="180">
        <f t="shared" ref="F92:M92" si="17">SUM(F93:F98)</f>
        <v>32837.225146341778</v>
      </c>
      <c r="G92" s="180">
        <f t="shared" si="17"/>
        <v>6000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5436.6266798579109</v>
      </c>
      <c r="L92" s="180">
        <f t="shared" si="17"/>
        <v>0</v>
      </c>
      <c r="M92" s="180">
        <f t="shared" si="17"/>
        <v>153006.38542335792</v>
      </c>
      <c r="N92" s="185">
        <f>SUM(N93:N98)</f>
        <v>153006.38542335792</v>
      </c>
      <c r="O92" s="185">
        <f>SUM(O93:O98)</f>
        <v>153006.38542335792</v>
      </c>
      <c r="P92" s="185">
        <f>SUM(P93:P98)</f>
        <v>4.7574837202392297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108732.53359715824</v>
      </c>
      <c r="F93" s="14">
        <f>'1.2.4. Электрооборудование'!E8</f>
        <v>32837.225146341778</v>
      </c>
      <c r="G93" s="12"/>
      <c r="H93" s="12"/>
      <c r="I93" s="14"/>
      <c r="J93" s="60"/>
      <c r="K93" s="23">
        <f>'1.2.4. Электрооборудование'!E9</f>
        <v>5436.6266798579109</v>
      </c>
      <c r="L93" s="23"/>
      <c r="M93" s="24">
        <f t="shared" ref="M93:M135" si="18">SUM(E93:L93)</f>
        <v>147006.38542335792</v>
      </c>
      <c r="N93" s="23">
        <f>O93</f>
        <v>147006.38542335792</v>
      </c>
      <c r="O93" s="61">
        <f>'1.2.4. Электрооборудование'!G13</f>
        <v>147006.38542335792</v>
      </c>
      <c r="P93" s="61">
        <f>O93/O6/12</f>
        <v>4.5709235172617291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6000</v>
      </c>
      <c r="H94" s="12"/>
      <c r="I94" s="14"/>
      <c r="J94" s="60"/>
      <c r="K94" s="23"/>
      <c r="L94" s="23"/>
      <c r="M94" s="24">
        <f t="shared" si="18"/>
        <v>6000</v>
      </c>
      <c r="N94" s="23">
        <f>O94</f>
        <v>6000</v>
      </c>
      <c r="O94" s="61">
        <f>'1.2.4. Электрооборудование'!G14</f>
        <v>6000</v>
      </c>
      <c r="P94" s="61">
        <f>O94/O6/12</f>
        <v>0.18656020297750084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416299.16590144578</v>
      </c>
      <c r="F99" s="173">
        <f t="shared" ref="F99:M99" si="19">F100+F107+F117</f>
        <v>125722.3481022366</v>
      </c>
      <c r="G99" s="173">
        <f t="shared" si="19"/>
        <v>7460.2722068570265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1294.4989609057584</v>
      </c>
      <c r="L99" s="173">
        <f t="shared" si="19"/>
        <v>0</v>
      </c>
      <c r="M99" s="173">
        <f t="shared" si="19"/>
        <v>550776.28517144523</v>
      </c>
      <c r="N99" s="174">
        <f>N100+N107+N117</f>
        <v>551322.87178673898</v>
      </c>
      <c r="O99" s="174">
        <f>O100+O107+O117</f>
        <v>551322.87178673898</v>
      </c>
      <c r="P99" s="174">
        <f>P100+P107+P117</f>
        <v>17.142484477778787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204698.55194543427</v>
      </c>
      <c r="F100" s="180">
        <f t="shared" ref="F100:M100" si="20">SUM(F101:F106)</f>
        <v>61818.962687521147</v>
      </c>
      <c r="G100" s="180">
        <f t="shared" si="20"/>
        <v>2426.9574771318976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364.04362156978465</v>
      </c>
      <c r="L100" s="180">
        <f t="shared" si="20"/>
        <v>0</v>
      </c>
      <c r="M100" s="180">
        <f t="shared" si="20"/>
        <v>269308.51573165716</v>
      </c>
      <c r="N100" s="184">
        <f>SUM(N101:N106)</f>
        <v>269855.10234695097</v>
      </c>
      <c r="O100" s="184">
        <f>SUM(O101:O106)</f>
        <v>269855.10234695097</v>
      </c>
      <c r="P100" s="184">
        <f>SUM(P101:P106)</f>
        <v>8.3907037780602405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204698.55194543427</v>
      </c>
      <c r="F101" s="217">
        <f>'1.3.1. Уборка МОП'!F8</f>
        <v>61818.962687521147</v>
      </c>
      <c r="G101" s="217">
        <f>'1.3.1. Уборка МОП'!F9</f>
        <v>2426.9574771318976</v>
      </c>
      <c r="H101" s="12"/>
      <c r="I101" s="14"/>
      <c r="J101" s="60"/>
      <c r="K101" s="217">
        <f>'1.3.1. Уборка МОП'!F10</f>
        <v>364.04362156978465</v>
      </c>
      <c r="L101" s="23"/>
      <c r="M101" s="24">
        <f t="shared" si="18"/>
        <v>269308.51573165716</v>
      </c>
      <c r="N101" s="217">
        <f>O101</f>
        <v>269855.10234695097</v>
      </c>
      <c r="O101" s="217">
        <f>'1.3.1. Уборка МОП'!H15</f>
        <v>269855.10234695097</v>
      </c>
      <c r="P101" s="217">
        <f>O101/O6/12</f>
        <v>8.3907037780602405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211600.61395601148</v>
      </c>
      <c r="F107" s="180">
        <f t="shared" ref="F107:M107" si="21">SUM(F108:F116)</f>
        <v>63903.385414715463</v>
      </c>
      <c r="G107" s="180">
        <f t="shared" si="21"/>
        <v>5033.3147297251289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930.4553393359738</v>
      </c>
      <c r="L107" s="180">
        <f t="shared" si="21"/>
        <v>0</v>
      </c>
      <c r="M107" s="180">
        <f t="shared" si="21"/>
        <v>281467.76943978801</v>
      </c>
      <c r="N107" s="180">
        <f>N108+N115</f>
        <v>281467.76943978807</v>
      </c>
      <c r="O107" s="180">
        <f>O108+O115</f>
        <v>281467.76943978807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204698.55194543427</v>
      </c>
      <c r="F108" s="217">
        <f>'1.3.2.Уборка зем.участка'!F8</f>
        <v>61818.962687521147</v>
      </c>
      <c r="G108" s="217">
        <f>'1.3.2.Уборка зем.участка'!F9</f>
        <v>3278.7334309530834</v>
      </c>
      <c r="H108" s="12"/>
      <c r="I108" s="14"/>
      <c r="J108" s="60"/>
      <c r="K108" s="217">
        <f>'1.3.2.Уборка зем.участка'!F10</f>
        <v>491.81001464296247</v>
      </c>
      <c r="L108" s="23"/>
      <c r="M108" s="24">
        <f t="shared" si="18"/>
        <v>270288.05807855143</v>
      </c>
      <c r="N108" s="217">
        <f>O108</f>
        <v>270288.05807855149</v>
      </c>
      <c r="O108" s="217">
        <f>'1.3.2.Уборка зем.участка'!H15</f>
        <v>270288.05807855149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6902.0620105772068</v>
      </c>
      <c r="F115" s="14">
        <f>'1.3.2. Скос травы'!H8</f>
        <v>2084.4227271943164</v>
      </c>
      <c r="G115" s="14">
        <f>'1.3.2. Скос травы'!H9</f>
        <v>1754.5812987720453</v>
      </c>
      <c r="H115" s="12"/>
      <c r="I115" s="14"/>
      <c r="J115" s="60"/>
      <c r="K115" s="23">
        <f>'1.3.2. Скос травы'!H10</f>
        <v>438.64532469301133</v>
      </c>
      <c r="L115" s="23"/>
      <c r="M115" s="24">
        <f t="shared" si="18"/>
        <v>11179.711361236579</v>
      </c>
      <c r="N115" s="23">
        <f>'1.3.2. Скос травы'!J15</f>
        <v>11179.711361236579</v>
      </c>
      <c r="O115" s="61">
        <f>'1.3.2. Скос травы'!J15</f>
        <v>11179.711361236579</v>
      </c>
      <c r="P115" s="61">
        <f>O115/O6/12</f>
        <v>0.34761487013036141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161093.69237408359</v>
      </c>
      <c r="F134" s="173">
        <f t="shared" ref="F134:M134" si="26">F135</f>
        <v>48650.295096973241</v>
      </c>
      <c r="G134" s="173">
        <f t="shared" si="26"/>
        <v>0</v>
      </c>
      <c r="H134" s="173">
        <f t="shared" si="26"/>
        <v>0</v>
      </c>
      <c r="I134" s="173">
        <f t="shared" si="26"/>
        <v>40068.386196972111</v>
      </c>
      <c r="J134" s="173">
        <f t="shared" si="26"/>
        <v>0</v>
      </c>
      <c r="K134" s="173">
        <f t="shared" si="26"/>
        <v>24164.053856112543</v>
      </c>
      <c r="L134" s="173">
        <f t="shared" si="26"/>
        <v>0</v>
      </c>
      <c r="M134" s="173">
        <f t="shared" si="26"/>
        <v>273976.4275241415</v>
      </c>
      <c r="N134" s="174">
        <f>N135</f>
        <v>273976.4275241415</v>
      </c>
      <c r="O134" s="174">
        <f>O135</f>
        <v>273976.4275241415</v>
      </c>
      <c r="P134" s="174">
        <f>P135</f>
        <v>8.5188496549923975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161093.69237408359</v>
      </c>
      <c r="F135" s="14">
        <f>'1.5. АДС'!H12</f>
        <v>48650.295096973241</v>
      </c>
      <c r="G135" s="14"/>
      <c r="H135" s="14"/>
      <c r="I135" s="14">
        <f>'1.5. АДС'!H13</f>
        <v>40068.386196972111</v>
      </c>
      <c r="J135" s="23"/>
      <c r="K135" s="23">
        <f>'1.5. АДС'!H14</f>
        <v>24164.053856112543</v>
      </c>
      <c r="L135" s="23"/>
      <c r="M135" s="24">
        <f t="shared" si="18"/>
        <v>273976.4275241415</v>
      </c>
      <c r="N135" s="14">
        <f>O135</f>
        <v>273976.4275241415</v>
      </c>
      <c r="O135" s="61">
        <f>'1.5. АДС'!J18</f>
        <v>273976.4275241415</v>
      </c>
      <c r="P135" s="61">
        <f>O135/O6/12</f>
        <v>8.5188496549923975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237.56938806546063</v>
      </c>
      <c r="F136" s="167">
        <f>F137</f>
        <v>71.745955195769113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7469.8442098304467</v>
      </c>
      <c r="J136" s="167">
        <f t="shared" si="27"/>
        <v>0</v>
      </c>
      <c r="K136" s="167">
        <f t="shared" si="27"/>
        <v>3357.7290697278527</v>
      </c>
      <c r="L136" s="167">
        <f t="shared" si="27"/>
        <v>0</v>
      </c>
      <c r="M136" s="167">
        <f t="shared" si="27"/>
        <v>11136.88862281953</v>
      </c>
      <c r="N136" s="168">
        <f>N137</f>
        <v>11136.89</v>
      </c>
      <c r="O136" s="168">
        <f>O137</f>
        <v>11136.89</v>
      </c>
      <c r="P136" s="168">
        <f>P137</f>
        <v>0.34628340982301653</v>
      </c>
      <c r="Q136" s="120">
        <f>O136/O6/12</f>
        <v>0.34628340982301653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237.56938806546063</v>
      </c>
      <c r="F137" s="14">
        <f>'2. Управление'!E12</f>
        <v>71.745955195769113</v>
      </c>
      <c r="G137" s="14"/>
      <c r="H137" s="14"/>
      <c r="I137" s="14">
        <f>'2. Управление'!E13</f>
        <v>7469.8442098304467</v>
      </c>
      <c r="J137" s="23"/>
      <c r="K137" s="23">
        <f>'2. Управление'!E14</f>
        <v>3357.7290697278527</v>
      </c>
      <c r="L137" s="23"/>
      <c r="M137" s="24">
        <f>SUM(E137:L137)</f>
        <v>11136.88862281953</v>
      </c>
      <c r="N137" s="23">
        <f>O137</f>
        <v>11136.89</v>
      </c>
      <c r="O137" s="61">
        <f>'2. Управление'!G18</f>
        <v>11136.89</v>
      </c>
      <c r="P137" s="61">
        <f>O137/O6/12</f>
        <v>0.34628340982301653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778337.07126362226</v>
      </c>
      <c r="F138" s="53">
        <f t="shared" si="28"/>
        <v>235057.80510074741</v>
      </c>
      <c r="G138" s="53">
        <f t="shared" si="28"/>
        <v>43860.981288357027</v>
      </c>
      <c r="H138" s="53">
        <f t="shared" si="28"/>
        <v>22376.15</v>
      </c>
      <c r="I138" s="53">
        <f t="shared" si="28"/>
        <v>47538.230406802555</v>
      </c>
      <c r="J138" s="53">
        <f t="shared" si="28"/>
        <v>0</v>
      </c>
      <c r="K138" s="53">
        <f t="shared" si="28"/>
        <v>35586.468566604068</v>
      </c>
      <c r="L138" s="53">
        <f t="shared" si="28"/>
        <v>0</v>
      </c>
      <c r="M138" s="53">
        <f t="shared" si="28"/>
        <v>1162756.7066261333</v>
      </c>
      <c r="N138" s="53">
        <f>N20+N136</f>
        <v>1157943.2946186075</v>
      </c>
      <c r="O138" s="53">
        <f>O20+O136</f>
        <v>1157943.2946186075</v>
      </c>
      <c r="P138" s="53">
        <f>O138/B139/12</f>
        <v>36.004356013413911</v>
      </c>
      <c r="Q138" s="120">
        <v>36</v>
      </c>
    </row>
    <row r="139" spans="1:17" hidden="1">
      <c r="A139" s="64"/>
      <c r="B139" s="189">
        <f>O6</f>
        <v>2680.1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449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1" workbookViewId="0">
      <selection activeCell="R38" sqref="R3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9.5" customHeight="1">
      <c r="B2" s="272" t="s">
        <v>444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218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40.5" customHeight="1">
      <c r="B6" s="274" t="s">
        <v>287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2680.1</v>
      </c>
      <c r="I8" s="158">
        <f>G8*H8/12</f>
        <v>2.2334166666666664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809.90388583333322</v>
      </c>
      <c r="Q8" s="8">
        <f>ROUND(P8*30.2/100,2)</f>
        <v>244.59</v>
      </c>
      <c r="R8" s="8">
        <f>P8+Q8</f>
        <v>1054.4938858333333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809.90388583333322</v>
      </c>
      <c r="Q9" s="19">
        <f>Q8</f>
        <v>244.59</v>
      </c>
      <c r="R9" s="19">
        <f>R8</f>
        <v>1054.4938858333333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231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264.60000000000002</v>
      </c>
      <c r="I15" s="9">
        <f>G15*H15</f>
        <v>1.0584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383.807592</v>
      </c>
      <c r="Q15" s="8">
        <f>ROUND(P15*30.2/100,2)</f>
        <v>115.91</v>
      </c>
      <c r="R15" s="8">
        <f>P15+Q15</f>
        <v>499.71759199999997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383.807592</v>
      </c>
      <c r="Q16" s="19">
        <f>Q15</f>
        <v>115.91</v>
      </c>
      <c r="R16" s="19">
        <f>R15</f>
        <v>499.71759199999997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69" t="s">
        <v>233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68" t="s">
        <v>240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36</v>
      </c>
      <c r="I27" s="9">
        <f>G27*H27</f>
        <v>6.84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2480.3892000000001</v>
      </c>
      <c r="Q27" s="8">
        <f>ROUND(P27*30.2/100,2)</f>
        <v>749.08</v>
      </c>
      <c r="R27" s="8">
        <f>P27+Q27</f>
        <v>3229.4692</v>
      </c>
      <c r="T27" s="159">
        <v>36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2480.3892000000001</v>
      </c>
      <c r="Q28" s="19">
        <f>Q27</f>
        <v>749.08</v>
      </c>
      <c r="R28" s="19">
        <f>R27</f>
        <v>3229.4692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68" t="s">
        <v>418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953</v>
      </c>
      <c r="I33" s="9">
        <f>G33*H33</f>
        <v>157.245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57021.754350000003</v>
      </c>
      <c r="Q33" s="8">
        <f>ROUND(P33*30.2/100,2)</f>
        <v>17220.57</v>
      </c>
      <c r="R33" s="8">
        <f>P33+Q33</f>
        <v>74242.32435000001</v>
      </c>
      <c r="T33" s="159">
        <v>953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57021.754350000003</v>
      </c>
      <c r="Q34" s="19">
        <f>Q33</f>
        <v>17220.57</v>
      </c>
      <c r="R34" s="19">
        <f>R33</f>
        <v>74242.32435000001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62146.375027833332</v>
      </c>
      <c r="Q36" s="92">
        <f t="shared" ref="Q36:R36" si="0">Q9+Q16+Q22+Q28+Q34</f>
        <v>18768.21</v>
      </c>
      <c r="R36" s="92">
        <f t="shared" si="0"/>
        <v>80914.585027833338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8650</v>
      </c>
    </row>
    <row r="38" spans="1:20" ht="29.25" customHeight="1">
      <c r="A38" s="134"/>
      <c r="B38" s="264" t="s">
        <v>360</v>
      </c>
      <c r="C38" s="265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62146.375027833332</v>
      </c>
      <c r="Q38" s="133">
        <f t="shared" ref="Q38:R38" si="1">Q36+Q37</f>
        <v>18768.21</v>
      </c>
      <c r="R38" s="133">
        <f t="shared" si="1"/>
        <v>89564.585027833338</v>
      </c>
    </row>
    <row r="39" spans="1:20" ht="38.25" customHeight="1">
      <c r="B39" s="266" t="s">
        <v>460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10" workbookViewId="0">
      <selection activeCell="J16" sqref="J16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342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407</v>
      </c>
      <c r="C2" s="272"/>
      <c r="D2" s="272"/>
      <c r="E2" s="272"/>
      <c r="F2" s="272"/>
      <c r="G2" s="272"/>
      <c r="H2" s="272"/>
    </row>
    <row r="3" spans="1:12" ht="26.25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</row>
    <row r="4" spans="1:12" ht="18.75" customHeight="1">
      <c r="B4" s="272" t="s">
        <v>450</v>
      </c>
      <c r="C4" s="272"/>
      <c r="D4" s="272"/>
      <c r="E4" s="272"/>
      <c r="F4" s="272"/>
      <c r="G4" s="272"/>
      <c r="H4" s="27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8890.4000000000015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5</v>
      </c>
      <c r="E9" s="9">
        <v>329.66</v>
      </c>
      <c r="F9" s="44">
        <v>164.8</v>
      </c>
      <c r="G9" s="46">
        <v>30787</v>
      </c>
      <c r="H9" s="8">
        <f>ROUND(D9*E9,2)</f>
        <v>1648.3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5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1813.15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5</v>
      </c>
      <c r="E11" s="9">
        <v>398.98</v>
      </c>
      <c r="F11" s="44">
        <f>F9</f>
        <v>164.8</v>
      </c>
      <c r="G11" s="46">
        <v>30787</v>
      </c>
      <c r="H11" s="8">
        <f t="shared" si="0"/>
        <v>1994.9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5</v>
      </c>
      <c r="E12" s="9">
        <v>686.81</v>
      </c>
      <c r="F12" s="44">
        <f>F9</f>
        <v>164.8</v>
      </c>
      <c r="G12" s="46">
        <v>30787</v>
      </c>
      <c r="H12" s="8">
        <f t="shared" si="0"/>
        <v>3434.05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2684.9008000000003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2">
        <v>5</v>
      </c>
      <c r="E14" s="9">
        <v>3963.23</v>
      </c>
      <c r="F14" s="44"/>
      <c r="G14" s="44"/>
      <c r="H14" s="8">
        <f>D14*E14</f>
        <v>19816.150000000001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1333.5600000000004</v>
      </c>
      <c r="I16" s="100">
        <v>15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32725.010800000004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6" t="s">
        <v>461</v>
      </c>
      <c r="C20" s="266"/>
      <c r="D20" s="266"/>
      <c r="E20" s="266"/>
      <c r="F20" s="266"/>
      <c r="G20" s="266"/>
      <c r="H20" s="266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9" workbookViewId="0">
      <selection activeCell="R11" sqref="R11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15.75">
      <c r="B2" s="272" t="s">
        <v>445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15.75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9.2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68" t="s">
        <v>414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953</v>
      </c>
      <c r="I8" s="9">
        <f>G8*H8</f>
        <v>157.245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953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16360</v>
      </c>
    </row>
    <row r="13" spans="1:20" ht="24" customHeight="1">
      <c r="A13" s="134"/>
      <c r="B13" s="264" t="s">
        <v>360</v>
      </c>
      <c r="C13" s="265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16797.47</v>
      </c>
    </row>
    <row r="14" spans="1:20" ht="49.5" customHeight="1">
      <c r="B14" s="266" t="s">
        <v>462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5" workbookViewId="0">
      <selection activeCell="G14" sqref="G14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1" t="s">
        <v>339</v>
      </c>
      <c r="C1" s="271"/>
      <c r="D1" s="271"/>
      <c r="E1" s="271"/>
      <c r="F1" s="271"/>
      <c r="G1" s="271"/>
    </row>
    <row r="2" spans="1:13" ht="58.5" customHeight="1">
      <c r="B2" s="272" t="s">
        <v>408</v>
      </c>
      <c r="C2" s="272"/>
      <c r="D2" s="272"/>
      <c r="E2" s="272"/>
      <c r="F2" s="272"/>
      <c r="G2" s="272"/>
    </row>
    <row r="3" spans="1:13" ht="32.25" customHeight="1">
      <c r="B3" s="272" t="s">
        <v>450</v>
      </c>
      <c r="C3" s="272"/>
      <c r="D3" s="272"/>
      <c r="E3" s="272"/>
      <c r="F3" s="272"/>
      <c r="G3" s="27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3" t="s">
        <v>400</v>
      </c>
      <c r="F5" s="250" t="s">
        <v>5</v>
      </c>
      <c r="G5" s="252"/>
    </row>
    <row r="6" spans="1:13" s="4" customFormat="1" ht="36.75" customHeight="1">
      <c r="A6" s="290"/>
      <c r="B6" s="221"/>
      <c r="C6" s="221"/>
      <c r="D6" s="292"/>
      <c r="E6" s="294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108732.53359715824</v>
      </c>
      <c r="F7" s="14">
        <v>59580.23</v>
      </c>
      <c r="G7" s="8">
        <f>F7*12</f>
        <v>714962.76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32837.225146341778</v>
      </c>
      <c r="F8" s="14">
        <f>F7*30.2/100</f>
        <v>17993.229459999999</v>
      </c>
      <c r="G8" s="8">
        <f>G7*D8/100</f>
        <v>215918.75351999997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5436.6266798579109</v>
      </c>
      <c r="F9" s="23">
        <f>F7*H9/100</f>
        <v>2979.0115000000001</v>
      </c>
      <c r="G9" s="69">
        <f>G7*H9/100</f>
        <v>35748.137999999999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80552.470959999991</v>
      </c>
      <c r="G10" s="24">
        <f>SUM(G7:G9)</f>
        <v>966629.65152000007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4.5709235172617291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2680.1</v>
      </c>
      <c r="E13" s="153">
        <f>E7+E8+E9</f>
        <v>147006.38542335792</v>
      </c>
      <c r="F13" s="24">
        <f>D12*D13</f>
        <v>12250.53211861316</v>
      </c>
      <c r="G13" s="19">
        <f>F13*12</f>
        <v>147006.38542335792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6000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153006.38542335792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6" t="s">
        <v>463</v>
      </c>
      <c r="C17" s="266"/>
      <c r="D17" s="266"/>
      <c r="E17" s="266"/>
      <c r="F17" s="266"/>
      <c r="G17" s="266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6" workbookViewId="0">
      <selection activeCell="H9" sqref="H9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1" t="s">
        <v>344</v>
      </c>
      <c r="C1" s="271"/>
      <c r="D1" s="271"/>
      <c r="E1" s="271"/>
      <c r="F1" s="271"/>
      <c r="G1" s="271"/>
      <c r="H1" s="271"/>
    </row>
    <row r="2" spans="1:15" ht="58.5" customHeight="1">
      <c r="B2" s="272" t="s">
        <v>465</v>
      </c>
      <c r="C2" s="272"/>
      <c r="D2" s="272"/>
      <c r="E2" s="272"/>
      <c r="F2" s="272"/>
      <c r="G2" s="272"/>
      <c r="H2" s="272"/>
    </row>
    <row r="3" spans="1:15" ht="32.25" customHeight="1">
      <c r="B3" s="272" t="s">
        <v>450</v>
      </c>
      <c r="C3" s="272"/>
      <c r="D3" s="272"/>
      <c r="E3" s="272"/>
      <c r="F3" s="272"/>
      <c r="G3" s="272"/>
      <c r="H3" s="27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3" t="s">
        <v>400</v>
      </c>
      <c r="G5" s="250" t="s">
        <v>5</v>
      </c>
      <c r="H5" s="252"/>
    </row>
    <row r="6" spans="1:15" s="4" customFormat="1" ht="36.75" customHeight="1">
      <c r="A6" s="290"/>
      <c r="B6" s="221"/>
      <c r="C6" s="221"/>
      <c r="D6" s="292"/>
      <c r="E6" s="296"/>
      <c r="F6" s="294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204698.55194543427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61818.962687521147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2426.9574771318976</v>
      </c>
      <c r="G9" s="23">
        <v>1629.36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364.04362156978465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147867.69453999997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8.3907037780602387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2680.1</v>
      </c>
      <c r="E15" s="201"/>
      <c r="F15" s="207">
        <f>F7+F8+F9+F10</f>
        <v>269308.51573165716</v>
      </c>
      <c r="G15" s="133">
        <f>D14*D15</f>
        <v>22487.925195579246</v>
      </c>
      <c r="H15" s="133">
        <f>G15*12</f>
        <v>269855.10234695097</v>
      </c>
      <c r="I15" s="147">
        <f>F15-H15</f>
        <v>-546.58661529381061</v>
      </c>
      <c r="J15" s="97"/>
      <c r="K15" s="97"/>
      <c r="L15" s="97"/>
      <c r="M15" s="97"/>
    </row>
    <row r="16" spans="1:15" ht="52.5" customHeight="1">
      <c r="B16" s="266" t="s">
        <v>464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1" t="s">
        <v>345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409</v>
      </c>
      <c r="C2" s="272"/>
      <c r="D2" s="272"/>
      <c r="E2" s="272"/>
      <c r="F2" s="272"/>
      <c r="G2" s="272"/>
      <c r="H2" s="272"/>
    </row>
    <row r="3" spans="1:12" ht="25.5" customHeight="1">
      <c r="B3" s="272" t="s">
        <v>450</v>
      </c>
      <c r="C3" s="272"/>
      <c r="D3" s="272"/>
      <c r="E3" s="272"/>
      <c r="F3" s="272"/>
      <c r="G3" s="272"/>
      <c r="H3" s="27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5" t="s">
        <v>400</v>
      </c>
      <c r="G5" s="250" t="s">
        <v>248</v>
      </c>
      <c r="H5" s="252"/>
    </row>
    <row r="6" spans="1:12" s="4" customFormat="1" ht="36.75" customHeight="1">
      <c r="A6" s="290"/>
      <c r="B6" s="221"/>
      <c r="C6" s="221"/>
      <c r="D6" s="292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204698.55194543427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61818.962687521147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3278.7334309530834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491.81001464296247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2680.1</v>
      </c>
      <c r="E15" s="201"/>
      <c r="F15" s="207">
        <f>F7+F8+F9+F10</f>
        <v>270288.05807855143</v>
      </c>
      <c r="G15" s="133">
        <f>D14*D15</f>
        <v>22524.00483987929</v>
      </c>
      <c r="H15" s="133">
        <f>G15*12</f>
        <v>270288.05807855149</v>
      </c>
      <c r="I15" s="147">
        <f>F15-H15</f>
        <v>0</v>
      </c>
      <c r="J15" s="97"/>
      <c r="K15" s="97"/>
      <c r="L15" s="97"/>
    </row>
    <row r="16" spans="1:12" ht="49.5" customHeight="1">
      <c r="B16" s="266" t="s">
        <v>463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1" t="s">
        <v>345</v>
      </c>
      <c r="C1" s="271"/>
      <c r="D1" s="271"/>
      <c r="E1" s="271"/>
      <c r="F1" s="271"/>
      <c r="G1" s="271"/>
      <c r="H1" s="271"/>
      <c r="I1" s="271"/>
      <c r="J1" s="271"/>
    </row>
    <row r="2" spans="1:14" ht="58.5" customHeight="1">
      <c r="B2" s="272" t="s">
        <v>410</v>
      </c>
      <c r="C2" s="272"/>
      <c r="D2" s="272"/>
      <c r="E2" s="272"/>
      <c r="F2" s="272"/>
      <c r="G2" s="272"/>
      <c r="H2" s="272"/>
      <c r="I2" s="272"/>
      <c r="J2" s="272"/>
    </row>
    <row r="3" spans="1:14" ht="25.5" customHeight="1">
      <c r="B3" s="272" t="s">
        <v>450</v>
      </c>
      <c r="C3" s="272"/>
      <c r="D3" s="272"/>
      <c r="E3" s="272"/>
      <c r="F3" s="272"/>
      <c r="G3" s="272"/>
      <c r="H3" s="272"/>
      <c r="I3" s="272"/>
      <c r="J3" s="27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413</v>
      </c>
      <c r="G5" s="298" t="s">
        <v>44</v>
      </c>
      <c r="H5" s="300" t="s">
        <v>400</v>
      </c>
      <c r="I5" s="250" t="s">
        <v>248</v>
      </c>
      <c r="J5" s="252"/>
    </row>
    <row r="6" spans="1:14" s="4" customFormat="1" ht="36.75" customHeight="1">
      <c r="A6" s="290"/>
      <c r="B6" s="221"/>
      <c r="C6" s="221"/>
      <c r="D6" s="292"/>
      <c r="E6" s="216"/>
      <c r="F6" s="299"/>
      <c r="G6" s="299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6902.0620105772068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2084.4227271943164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1754.5812987720453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438.64532469301133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2680.1</v>
      </c>
      <c r="E15" s="108"/>
      <c r="F15" s="108"/>
      <c r="G15" s="201"/>
      <c r="H15" s="207">
        <f>H7+H8+H9+H10</f>
        <v>11179.711361236579</v>
      </c>
      <c r="I15" s="133">
        <f>D14*D15</f>
        <v>931.64261343638168</v>
      </c>
      <c r="J15" s="133">
        <f>I15*12</f>
        <v>11179.711361236579</v>
      </c>
      <c r="K15" s="147">
        <f>H15-J15</f>
        <v>0</v>
      </c>
      <c r="L15" s="97"/>
      <c r="M15" s="97"/>
      <c r="N15" s="97"/>
    </row>
    <row r="16" spans="1:14" ht="54" customHeight="1">
      <c r="B16" s="266" t="s">
        <v>453</v>
      </c>
      <c r="C16" s="266"/>
      <c r="D16" s="266"/>
      <c r="E16" s="266"/>
      <c r="F16" s="266"/>
      <c r="G16" s="266"/>
      <c r="H16" s="266"/>
      <c r="I16" s="266"/>
      <c r="J16" s="266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340</v>
      </c>
      <c r="C1" s="271"/>
      <c r="D1" s="271"/>
      <c r="E1" s="271"/>
      <c r="F1" s="271"/>
      <c r="G1" s="271"/>
      <c r="H1" s="271"/>
      <c r="I1" s="271"/>
      <c r="J1" s="271"/>
    </row>
    <row r="2" spans="1:12" ht="39" customHeight="1">
      <c r="B2" s="272" t="s">
        <v>411</v>
      </c>
      <c r="C2" s="272"/>
      <c r="D2" s="272"/>
      <c r="E2" s="272"/>
      <c r="F2" s="272"/>
      <c r="G2" s="272"/>
      <c r="H2" s="272"/>
      <c r="I2" s="272"/>
      <c r="J2" s="272"/>
    </row>
    <row r="3" spans="1:12" ht="25.5" customHeight="1">
      <c r="B3" s="272" t="s">
        <v>450</v>
      </c>
      <c r="C3" s="272"/>
      <c r="D3" s="272"/>
      <c r="E3" s="272"/>
      <c r="F3" s="272"/>
      <c r="G3" s="272"/>
      <c r="H3" s="272"/>
      <c r="I3" s="272"/>
      <c r="J3" s="27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2"/>
      <c r="B5" s="220" t="s">
        <v>28</v>
      </c>
      <c r="C5" s="220" t="s">
        <v>3</v>
      </c>
      <c r="D5" s="215" t="s">
        <v>4</v>
      </c>
      <c r="E5" s="215" t="s">
        <v>30</v>
      </c>
      <c r="F5" s="304" t="s">
        <v>466</v>
      </c>
      <c r="G5" s="304" t="s">
        <v>44</v>
      </c>
      <c r="H5" s="300" t="s">
        <v>400</v>
      </c>
      <c r="I5" s="250" t="s">
        <v>5</v>
      </c>
      <c r="J5" s="252"/>
    </row>
    <row r="6" spans="1:12" s="4" customFormat="1" ht="35.450000000000003" customHeight="1">
      <c r="A6" s="303"/>
      <c r="B6" s="221"/>
      <c r="C6" s="221"/>
      <c r="D6" s="216"/>
      <c r="E6" s="216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161093.69237408359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48650.295096973241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40068.386196972111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24164.053856112543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2680.1</v>
      </c>
      <c r="E18" s="202"/>
      <c r="F18" s="205"/>
      <c r="G18" s="205"/>
      <c r="H18" s="209">
        <f>H7+H12+H13+H14</f>
        <v>273976.4275241415</v>
      </c>
      <c r="I18" s="202">
        <f>D17*D18</f>
        <v>22831.368960345124</v>
      </c>
      <c r="J18" s="202">
        <f>I18*12</f>
        <v>273976.4275241415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6" t="s">
        <v>452</v>
      </c>
      <c r="C20" s="266"/>
      <c r="D20" s="266"/>
      <c r="E20" s="266"/>
      <c r="F20" s="266"/>
      <c r="G20" s="266"/>
      <c r="H20" s="266"/>
      <c r="I20" s="266"/>
      <c r="J20" s="266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1" t="s">
        <v>343</v>
      </c>
      <c r="C1" s="271"/>
      <c r="D1" s="271"/>
      <c r="E1" s="271"/>
      <c r="F1" s="271"/>
      <c r="G1" s="271"/>
    </row>
    <row r="2" spans="1:12" ht="39" customHeight="1">
      <c r="B2" s="272" t="s">
        <v>412</v>
      </c>
      <c r="C2" s="272"/>
      <c r="D2" s="272"/>
      <c r="E2" s="272"/>
      <c r="F2" s="272"/>
      <c r="G2" s="272"/>
    </row>
    <row r="3" spans="1:12" ht="29.25" customHeight="1">
      <c r="B3" s="272" t="s">
        <v>450</v>
      </c>
      <c r="C3" s="272"/>
      <c r="D3" s="272"/>
      <c r="E3" s="272"/>
      <c r="F3" s="272"/>
      <c r="G3" s="27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2"/>
      <c r="B5" s="220" t="s">
        <v>28</v>
      </c>
      <c r="C5" s="306" t="s">
        <v>3</v>
      </c>
      <c r="D5" s="215" t="s">
        <v>4</v>
      </c>
      <c r="E5" s="293" t="s">
        <v>402</v>
      </c>
      <c r="F5" s="250" t="s">
        <v>5</v>
      </c>
      <c r="G5" s="252"/>
    </row>
    <row r="6" spans="1:12" s="4" customFormat="1" ht="39" customHeight="1">
      <c r="A6" s="303"/>
      <c r="B6" s="221"/>
      <c r="C6" s="307"/>
      <c r="D6" s="216"/>
      <c r="E6" s="294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237.56938806546063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71.745955195769113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7469.8442098304467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3357.7290697278527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2680.1</v>
      </c>
      <c r="E18" s="211">
        <f>E11+E12+E13+E14</f>
        <v>11136.88862281953</v>
      </c>
      <c r="F18" s="202">
        <f>G18/12</f>
        <v>928.07416666666666</v>
      </c>
      <c r="G18" s="202">
        <f>ROUND(G15/D16*D18,2)</f>
        <v>11136.89</v>
      </c>
      <c r="H18" s="147">
        <f>E18-G18</f>
        <v>-1.3771804697171319E-3</v>
      </c>
      <c r="I18" s="27"/>
      <c r="J18" s="28"/>
      <c r="K18" s="28"/>
      <c r="L18" s="28"/>
    </row>
    <row r="19" spans="1:12" ht="59.25" customHeight="1">
      <c r="B19" s="266" t="s">
        <v>467</v>
      </c>
      <c r="C19" s="266"/>
      <c r="D19" s="266"/>
      <c r="E19" s="266"/>
      <c r="F19" s="266"/>
      <c r="G19" s="266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1" t="s">
        <v>345</v>
      </c>
      <c r="C1" s="271"/>
      <c r="D1" s="271"/>
      <c r="E1" s="271"/>
      <c r="F1" s="271"/>
      <c r="G1" s="271"/>
      <c r="H1" s="271"/>
      <c r="I1" s="271"/>
    </row>
    <row r="2" spans="1:13" ht="58.5" customHeight="1">
      <c r="B2" s="272" t="s">
        <v>301</v>
      </c>
      <c r="C2" s="272"/>
      <c r="D2" s="272"/>
      <c r="E2" s="272"/>
      <c r="F2" s="272"/>
      <c r="G2" s="272"/>
      <c r="H2" s="272"/>
      <c r="I2" s="272"/>
    </row>
    <row r="3" spans="1:13" ht="25.5" customHeight="1">
      <c r="B3" s="272" t="s">
        <v>22</v>
      </c>
      <c r="C3" s="272"/>
      <c r="D3" s="272"/>
      <c r="E3" s="272"/>
      <c r="F3" s="272"/>
      <c r="G3" s="272"/>
      <c r="H3" s="272"/>
      <c r="I3" s="27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45</v>
      </c>
      <c r="G5" s="298" t="s">
        <v>44</v>
      </c>
      <c r="H5" s="250" t="s">
        <v>248</v>
      </c>
      <c r="I5" s="252"/>
    </row>
    <row r="6" spans="1:13" s="4" customFormat="1" ht="36.75" customHeight="1">
      <c r="A6" s="290"/>
      <c r="B6" s="221"/>
      <c r="C6" s="221"/>
      <c r="D6" s="292"/>
      <c r="E6" s="216"/>
      <c r="F6" s="299"/>
      <c r="G6" s="299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2680.1</v>
      </c>
      <c r="E15" s="108"/>
      <c r="F15" s="108"/>
      <c r="G15" s="104"/>
      <c r="H15" s="93">
        <f>D14*D15</f>
        <v>920.07346685883374</v>
      </c>
      <c r="I15" s="93">
        <f>H15*12</f>
        <v>11040.881602306004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44" zoomScale="90" zoomScaleNormal="90" workbookViewId="0">
      <selection activeCell="R50" sqref="R5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58.5" customHeight="1">
      <c r="B2" s="272" t="s">
        <v>436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">
        <v>470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249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25.15" customHeight="1">
      <c r="B6" s="274" t="s">
        <v>250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2680.1</v>
      </c>
      <c r="I8" s="9">
        <f>G8*H8</f>
        <v>1.045239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379.03501857000003</v>
      </c>
      <c r="Q8" s="8">
        <f>ROUND(P8*30.2/100,2)</f>
        <v>114.47</v>
      </c>
      <c r="R8" s="8">
        <f>P8+Q8</f>
        <v>493.50501857000006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379.03501857000003</v>
      </c>
      <c r="Q9" s="19">
        <f>Q8</f>
        <v>114.47</v>
      </c>
      <c r="R9" s="19">
        <f>R8</f>
        <v>493.50501857000006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252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38.25" customHeight="1">
      <c r="B13" s="268" t="s">
        <v>253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2680.1</v>
      </c>
      <c r="I15" s="157">
        <f>G15*H15/12</f>
        <v>0.69459258333333329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251.88010849416665</v>
      </c>
      <c r="Q15" s="8">
        <f>ROUND(P15*30.2/100,2)</f>
        <v>76.069999999999993</v>
      </c>
      <c r="R15" s="8">
        <f>P15+Q15</f>
        <v>327.95010849416667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251.88010849416665</v>
      </c>
      <c r="Q16" s="19">
        <f>Q15</f>
        <v>76.069999999999993</v>
      </c>
      <c r="R16" s="19">
        <f>R15</f>
        <v>327.95010849416667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69" t="s">
        <v>255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38.25" customHeight="1">
      <c r="B19" s="270" t="s">
        <v>256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f>H8</f>
        <v>2680.1</v>
      </c>
      <c r="I21" s="158">
        <f>G21*H21/12</f>
        <v>2.1887483333333333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793.70580811666662</v>
      </c>
      <c r="Q21" s="8">
        <f>ROUND(P21*30.2/100,2)</f>
        <v>239.7</v>
      </c>
      <c r="R21" s="8">
        <f>P21+Q21</f>
        <v>1033.4058081166665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793.70580811666662</v>
      </c>
      <c r="Q22" s="19">
        <f>Q21</f>
        <v>239.7</v>
      </c>
      <c r="R22" s="19">
        <f>R21</f>
        <v>1033.4058081166665</v>
      </c>
    </row>
    <row r="23" spans="1:18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68" t="s">
        <v>256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f>H8</f>
        <v>2680.1</v>
      </c>
      <c r="I27" s="157">
        <f>G27*H27/12</f>
        <v>0.5583541666666666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202.47597145833331</v>
      </c>
      <c r="Q27" s="8">
        <f>ROUND(P27*30.2/100,2)</f>
        <v>61.15</v>
      </c>
      <c r="R27" s="8">
        <f>P27+Q27</f>
        <v>263.62597145833331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202.47597145833331</v>
      </c>
      <c r="Q28" s="19">
        <f>Q27</f>
        <v>61.15</v>
      </c>
      <c r="R28" s="19">
        <f>R27</f>
        <v>263.62597145833331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68" t="s">
        <v>261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2680.1</v>
      </c>
      <c r="I33" s="158">
        <f>G33*H33/12</f>
        <v>0.25014266666666668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90.709235213333343</v>
      </c>
      <c r="Q33" s="8">
        <f>ROUND(P33*30.2/100,2)</f>
        <v>27.39</v>
      </c>
      <c r="R33" s="8">
        <f>P33+Q33</f>
        <v>118.09923521333334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90.709235213333343</v>
      </c>
      <c r="Q34" s="19">
        <f>Q33</f>
        <v>27.39</v>
      </c>
      <c r="R34" s="19">
        <f>R33</f>
        <v>118.09923521333334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1717.8061418525001</v>
      </c>
      <c r="Q37" s="133">
        <f t="shared" si="0"/>
        <v>518.78</v>
      </c>
      <c r="R37" s="133">
        <f>R9+R16+R22+R28+R34</f>
        <v>2236.5861418525001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68" t="s">
        <v>261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f>H8</f>
        <v>2680.1</v>
      </c>
      <c r="I41" s="9">
        <f>G41*H41/12</f>
        <v>0.67002499999999998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242.97116574999998</v>
      </c>
      <c r="Q41" s="8">
        <f>ROUND(P41*30.2/100,2)</f>
        <v>73.38</v>
      </c>
      <c r="R41" s="8">
        <f>P41+Q41</f>
        <v>316.35116574999995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242.97116574999998</v>
      </c>
      <c r="Q42" s="19">
        <f>Q41</f>
        <v>73.38</v>
      </c>
      <c r="R42" s="19">
        <f>R41</f>
        <v>316.35116574999995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68" t="s">
        <v>308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f>H8</f>
        <v>2680.1</v>
      </c>
      <c r="I47" s="158">
        <f>G47*H47/12</f>
        <v>0.44668333333333332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161.98077716666666</v>
      </c>
      <c r="Q47" s="8">
        <f>ROUND(P47*30.2/100,2)</f>
        <v>48.92</v>
      </c>
      <c r="R47" s="8">
        <f>P47+Q47</f>
        <v>210.90077716666667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161.98077716666666</v>
      </c>
      <c r="Q48" s="19">
        <f>Q47</f>
        <v>48.92</v>
      </c>
      <c r="R48" s="19">
        <f>R47</f>
        <v>210.90077716666667</v>
      </c>
    </row>
    <row r="49" spans="1:18" ht="43.5" customHeight="1"/>
    <row r="50" spans="1:18" ht="37.5" customHeight="1">
      <c r="A50" s="108">
        <v>1</v>
      </c>
      <c r="B50" s="260" t="s">
        <v>221</v>
      </c>
      <c r="C50" s="26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2122.7580847691665</v>
      </c>
      <c r="Q50" s="92">
        <f t="shared" ref="Q50:R50" si="1">Q9+Q16+Q22+Q28+Q34+Q42+Q48</f>
        <v>641.07999999999993</v>
      </c>
      <c r="R50" s="92">
        <f t="shared" si="1"/>
        <v>2763.8380847691665</v>
      </c>
    </row>
    <row r="51" spans="1:18" ht="37.5" customHeight="1">
      <c r="A51" s="108">
        <v>2</v>
      </c>
      <c r="B51" s="262" t="s">
        <v>359</v>
      </c>
      <c r="C51" s="26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3695</v>
      </c>
    </row>
    <row r="52" spans="1:18" ht="26.25" customHeight="1">
      <c r="A52" s="195"/>
      <c r="B52" s="264" t="s">
        <v>360</v>
      </c>
      <c r="C52" s="26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2122.7580847691665</v>
      </c>
      <c r="Q52" s="133">
        <f t="shared" ref="Q52:R52" si="2">Q50+Q51</f>
        <v>641.07999999999993</v>
      </c>
      <c r="R52" s="133">
        <f t="shared" si="2"/>
        <v>6458.838084769166</v>
      </c>
    </row>
    <row r="53" spans="1:18" ht="50.25" customHeight="1">
      <c r="B53" s="266" t="s">
        <v>451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5"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4.25" customHeight="1">
      <c r="B2" s="272" t="s">
        <v>437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4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68" t="s">
        <v>431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993.2</v>
      </c>
      <c r="I10" s="8">
        <f>G10*H10/12/2</f>
        <v>15.725666666666667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5702.5985033333336</v>
      </c>
      <c r="Q10" s="8">
        <f>ROUND(P10*30.2/100,2)</f>
        <v>1722.18</v>
      </c>
      <c r="R10" s="8">
        <f>P10+Q10</f>
        <v>7424.7785033333339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5702.5985033333336</v>
      </c>
      <c r="Q11" s="19">
        <f>Q10</f>
        <v>1722.18</v>
      </c>
      <c r="R11" s="19">
        <f>R10</f>
        <v>7424.7785033333339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5702.5985033333336</v>
      </c>
      <c r="Q13" s="92">
        <f t="shared" ref="Q13:R13" si="0">Q11</f>
        <v>1722.18</v>
      </c>
      <c r="R13" s="92">
        <f t="shared" si="0"/>
        <v>7424.7785033333339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v>2560</v>
      </c>
      <c r="S14" s="54">
        <v>20</v>
      </c>
      <c r="T14" s="54" t="s">
        <v>19</v>
      </c>
    </row>
    <row r="15" spans="1:20" s="21" customFormat="1" ht="32.25" customHeight="1">
      <c r="A15" s="108"/>
      <c r="B15" s="264" t="s">
        <v>360</v>
      </c>
      <c r="C15" s="26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5702.5985033333336</v>
      </c>
      <c r="Q15" s="133">
        <f t="shared" ref="Q15:R15" si="1">Q13+Q14</f>
        <v>1722.18</v>
      </c>
      <c r="R15" s="133">
        <f t="shared" si="1"/>
        <v>9984.7785033333348</v>
      </c>
    </row>
    <row r="16" spans="1:20" ht="50.25" customHeight="1">
      <c r="B16" s="266" t="s">
        <v>452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16" workbookViewId="0">
      <selection activeCell="I14" sqref="I14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68" t="s">
        <v>265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1281.3</v>
      </c>
      <c r="I8" s="9">
        <f>G8*H8</f>
        <v>3.8439000000000001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1393.9134570000001</v>
      </c>
      <c r="Q8" s="8">
        <f>ROUND(P8*30.2/100,2)</f>
        <v>420.96</v>
      </c>
      <c r="R8" s="8">
        <f>P8+Q8</f>
        <v>1814.8734570000001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1393.9134570000001</v>
      </c>
      <c r="Q9" s="19">
        <f>Q8</f>
        <v>420.96</v>
      </c>
      <c r="R9" s="19">
        <f>R8</f>
        <v>1814.8734570000001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68" t="s">
        <v>309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v>0</v>
      </c>
      <c r="I14" s="9">
        <f>G14*H14</f>
        <v>0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0</v>
      </c>
      <c r="Q14" s="8">
        <f>ROUND(P14*30.2/100,2)</f>
        <v>0</v>
      </c>
      <c r="R14" s="8">
        <f>P14+Q14</f>
        <v>0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0</v>
      </c>
      <c r="Q15" s="19">
        <f>Q14</f>
        <v>0</v>
      </c>
      <c r="R15" s="19">
        <f>R14</f>
        <v>0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68" t="s">
        <v>312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1393.9134570000001</v>
      </c>
      <c r="Q23" s="92">
        <f t="shared" ref="Q23:R23" si="0">Q9+Q15+Q21</f>
        <v>420.96</v>
      </c>
      <c r="R23" s="92">
        <f t="shared" si="0"/>
        <v>1814.8734570000001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1393.9134570000001</v>
      </c>
      <c r="Q25" s="133">
        <f t="shared" ref="Q25:R25" si="1">Q23+Q24</f>
        <v>420.96</v>
      </c>
      <c r="R25" s="133">
        <f t="shared" si="1"/>
        <v>1814.8734570000001</v>
      </c>
    </row>
    <row r="26" spans="1:18" ht="45.75" customHeight="1">
      <c r="B26" s="266" t="s">
        <v>453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2" workbookViewId="0">
      <selection activeCell="R19" sqref="R19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27.75" customHeight="1">
      <c r="B2" s="272" t="s">
        <v>439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68" t="s">
        <v>263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2680.1</v>
      </c>
      <c r="I9" s="9">
        <f>G9*H9/12</f>
        <v>0.67002499999999998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220.88044150000002</v>
      </c>
      <c r="Q9" s="8">
        <f>ROUND(P9*30.2/100,2)</f>
        <v>66.709999999999994</v>
      </c>
      <c r="R9" s="8">
        <f>P9+Q9</f>
        <v>287.5904415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220.88044150000002</v>
      </c>
      <c r="Q10" s="19">
        <f>Q9</f>
        <v>66.709999999999994</v>
      </c>
      <c r="R10" s="19">
        <f>R9</f>
        <v>287.5904415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260.2</v>
      </c>
      <c r="I15" s="9">
        <f>G15*H15/12</f>
        <v>6.5049999999999997E-2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23.589081499999999</v>
      </c>
      <c r="Q15" s="8">
        <f>ROUND(P15*30.2/100,2)</f>
        <v>7.12</v>
      </c>
      <c r="R15" s="8">
        <f>P15+Q15</f>
        <v>30.7090815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23.589081499999999</v>
      </c>
      <c r="Q16" s="19">
        <f>Q15</f>
        <v>7.12</v>
      </c>
      <c r="R16" s="19">
        <f>R15</f>
        <v>30.7090815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244.46952300000001</v>
      </c>
      <c r="Q18" s="92">
        <f t="shared" ref="Q18:R18" si="0">Q10+Q16</f>
        <v>73.83</v>
      </c>
      <c r="R18" s="92">
        <f t="shared" si="0"/>
        <v>318.29952300000002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92">
        <v>6950</v>
      </c>
    </row>
    <row r="20" spans="1:18" s="148" customFormat="1" ht="34.5" customHeight="1">
      <c r="A20" s="132"/>
      <c r="B20" s="264" t="s">
        <v>360</v>
      </c>
      <c r="C20" s="265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244.46952300000001</v>
      </c>
      <c r="Q20" s="133">
        <f t="shared" ref="Q20:R20" si="1">Q18+Q19</f>
        <v>73.83</v>
      </c>
      <c r="R20" s="133">
        <f t="shared" si="1"/>
        <v>7268.2995229999997</v>
      </c>
    </row>
    <row r="21" spans="1:18" ht="44.25" customHeight="1">
      <c r="B21" s="266" t="s">
        <v>454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topLeftCell="A9" workbookViewId="0">
      <selection activeCell="R15" sqref="R1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440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.75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455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68" t="s">
        <v>317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2680.1</v>
      </c>
      <c r="I10" s="158">
        <f>G10*H10/12</f>
        <v>0.89336666666666664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323.96155433333331</v>
      </c>
      <c r="Q10" s="8">
        <f>ROUND(P10*30.2/100,2)</f>
        <v>97.84</v>
      </c>
      <c r="R10" s="8">
        <f>P10+Q10</f>
        <v>421.80155433333334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323.96155433333331</v>
      </c>
      <c r="Q11" s="19">
        <f>Q10</f>
        <v>97.84</v>
      </c>
      <c r="R11" s="19">
        <f>R10</f>
        <v>421.80155433333334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323.96155433333331</v>
      </c>
      <c r="Q13" s="92">
        <f t="shared" ref="Q13:R13" si="0">Q11</f>
        <v>97.84</v>
      </c>
      <c r="R13" s="92">
        <f t="shared" si="0"/>
        <v>421.80155433333334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3960.3</v>
      </c>
    </row>
    <row r="15" spans="1:18" s="148" customFormat="1" ht="34.5" customHeight="1">
      <c r="A15" s="132"/>
      <c r="B15" s="264" t="s">
        <v>360</v>
      </c>
      <c r="C15" s="265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323.96155433333331</v>
      </c>
      <c r="Q15" s="133">
        <f t="shared" ref="Q15:R15" si="1">Q13+Q14</f>
        <v>97.84</v>
      </c>
      <c r="R15" s="133">
        <f t="shared" si="1"/>
        <v>4382.1015543333333</v>
      </c>
    </row>
    <row r="16" spans="1:18" ht="42" customHeight="1">
      <c r="B16" s="266" t="s">
        <v>456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topLeftCell="A17" workbookViewId="0">
      <selection activeCell="I21" sqref="I21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37.15" customHeight="1">
      <c r="B2" s="272" t="s">
        <v>441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27" customHeight="1">
      <c r="B5" s="273" t="s">
        <v>269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36" customHeight="1">
      <c r="B6" s="274" t="s">
        <v>271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f>'1.1.1. Осмотр несущ.констр.'!H8</f>
        <v>2680.1</v>
      </c>
      <c r="I8" s="9">
        <f>G8*H8/12</f>
        <v>0.93803500000000017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340.15963205000008</v>
      </c>
      <c r="Q8" s="8">
        <f>ROUND(P8*30.2/100,2)</f>
        <v>102.73</v>
      </c>
      <c r="R8" s="8">
        <f>P8+Q8</f>
        <v>442.8896320500001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340.15963205000008</v>
      </c>
      <c r="Q9" s="19">
        <f>Q8</f>
        <v>102.73</v>
      </c>
      <c r="R9" s="19">
        <f>R8</f>
        <v>442.8896320500001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8" t="s">
        <v>272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640</v>
      </c>
      <c r="I15" s="9">
        <f>G15*H15/12</f>
        <v>0.22400000000000006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81.229120000000023</v>
      </c>
      <c r="Q15" s="8">
        <f>ROUND(P15*30.2/100,2)</f>
        <v>24.53</v>
      </c>
      <c r="R15" s="8">
        <f>P15+Q15</f>
        <v>105.75912000000002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81.229120000000023</v>
      </c>
      <c r="Q16" s="19">
        <f>Q15</f>
        <v>24.53</v>
      </c>
      <c r="R16" s="19">
        <f>R15</f>
        <v>105.75912000000002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/>
      <c r="I21" s="9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0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421.38875205000011</v>
      </c>
      <c r="Q24" s="92">
        <f t="shared" ref="Q24:R24" si="0">Q9+Q16+Q22</f>
        <v>127.26</v>
      </c>
      <c r="R24" s="92">
        <f t="shared" si="0"/>
        <v>548.6487520500001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4" t="s">
        <v>360</v>
      </c>
      <c r="C26" s="26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421.38875205000011</v>
      </c>
      <c r="Q26" s="133">
        <f t="shared" ref="Q26:R26" si="1">Q24+Q25</f>
        <v>127.26</v>
      </c>
      <c r="R26" s="133">
        <f t="shared" si="1"/>
        <v>548.6487520500001</v>
      </c>
    </row>
    <row r="27" spans="1:18" s="22" customFormat="1" ht="44.25" customHeight="1">
      <c r="B27" s="266" t="s">
        <v>457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24" workbookViewId="0">
      <selection activeCell="R31" sqref="R31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9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36</v>
      </c>
      <c r="I8" s="9">
        <f>G8*H8/12</f>
        <v>1.7999999999999998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652.73399999999992</v>
      </c>
      <c r="Q8" s="8">
        <f>ROUND(P8*30.2/100,2)</f>
        <v>197.13</v>
      </c>
      <c r="R8" s="8">
        <f>P8+Q8</f>
        <v>849.86399999999992</v>
      </c>
      <c r="T8" s="28">
        <v>36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652.73399999999992</v>
      </c>
      <c r="Q9" s="19">
        <f>Q8</f>
        <v>197.13</v>
      </c>
      <c r="R9" s="19">
        <f>R8</f>
        <v>849.86399999999992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377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373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4</v>
      </c>
      <c r="I14" s="9">
        <f>G14*H14</f>
        <v>4.8000000000000007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1740.6240000000003</v>
      </c>
      <c r="Q14" s="8">
        <f>ROUND(P14*30.2/100,2)</f>
        <v>525.66999999999996</v>
      </c>
      <c r="R14" s="8">
        <f>P14+Q14</f>
        <v>2266.2940000000003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1740.6240000000003</v>
      </c>
      <c r="Q15" s="19">
        <f>Q14</f>
        <v>525.66999999999996</v>
      </c>
      <c r="R15" s="19">
        <f>R14</f>
        <v>2266.2940000000003</v>
      </c>
    </row>
    <row r="16" spans="1:20" ht="15"/>
    <row r="17" spans="1:20" ht="27" customHeight="1">
      <c r="B17" s="273" t="s">
        <v>378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0" ht="42.75" customHeight="1">
      <c r="B18" s="274" t="s">
        <v>379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12</v>
      </c>
      <c r="I20" s="9">
        <f>G20*H20</f>
        <v>8.64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3133.1232</v>
      </c>
      <c r="Q20" s="8">
        <f>ROUND(P20*30.2/100,2)</f>
        <v>946.2</v>
      </c>
      <c r="R20" s="8">
        <f>P20+Q20</f>
        <v>4079.3231999999998</v>
      </c>
      <c r="T20" s="194">
        <v>12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3133.1232</v>
      </c>
      <c r="Q21" s="19">
        <f>Q20</f>
        <v>946.2</v>
      </c>
      <c r="R21" s="19">
        <f>R20</f>
        <v>4079.3231999999998</v>
      </c>
    </row>
    <row r="23" spans="1:20" ht="27" customHeight="1">
      <c r="B23" s="273" t="s">
        <v>382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20" ht="42.75" customHeight="1">
      <c r="B24" s="274" t="s">
        <v>383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36</v>
      </c>
      <c r="I26" s="9">
        <f>G26*H26</f>
        <v>9.36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3394.2167999999997</v>
      </c>
      <c r="Q26" s="8">
        <f>ROUND(P26*30.2/100,2)</f>
        <v>1025.05</v>
      </c>
      <c r="R26" s="8">
        <f>P26+Q26</f>
        <v>4419.2667999999994</v>
      </c>
      <c r="T26" s="194">
        <v>36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3394.2167999999997</v>
      </c>
      <c r="Q27" s="19">
        <f>Q26</f>
        <v>1025.05</v>
      </c>
      <c r="R27" s="19">
        <f>R26</f>
        <v>4419.2667999999994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8920.6980000000003</v>
      </c>
      <c r="Q29" s="92">
        <f t="shared" ref="Q29:R29" si="0">Q9+Q15+Q21+Q27</f>
        <v>2694.05</v>
      </c>
      <c r="R29" s="92">
        <f t="shared" si="0"/>
        <v>11614.748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5360</v>
      </c>
    </row>
    <row r="31" spans="1:20" s="40" customFormat="1" ht="24" customHeight="1">
      <c r="A31" s="108"/>
      <c r="B31" s="264" t="s">
        <v>360</v>
      </c>
      <c r="C31" s="265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8920.6980000000003</v>
      </c>
      <c r="Q31" s="133">
        <f t="shared" ref="Q31:R31" si="1">Q29+Q30</f>
        <v>2694.05</v>
      </c>
      <c r="R31" s="133">
        <f t="shared" si="1"/>
        <v>16974.748</v>
      </c>
    </row>
    <row r="32" spans="1:20" ht="44.25" customHeight="1">
      <c r="B32" s="266" t="s">
        <v>458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opLeftCell="B17" workbookViewId="0">
      <selection activeCell="R23" sqref="R2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443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3.75" customHeight="1">
      <c r="B3" s="272" t="str">
        <f>'1.1.1. Осмотр несущ.констр.'!B3:R3</f>
        <v>с.Чечеул, ул Ленина, д.2А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2.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324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60</v>
      </c>
      <c r="I8" s="9">
        <f>G8*H8/12</f>
        <v>3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1087.8899999999999</v>
      </c>
      <c r="Q8" s="8">
        <f>ROUND(P8*30.2/100,2)</f>
        <v>328.54</v>
      </c>
      <c r="R8" s="8">
        <f>P8+Q8</f>
        <v>1416.4299999999998</v>
      </c>
      <c r="T8" s="28">
        <v>60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1087.8899999999999</v>
      </c>
      <c r="Q9" s="19">
        <f>Q8</f>
        <v>328.54</v>
      </c>
      <c r="R9" s="19">
        <f>R8</f>
        <v>1416.4299999999998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326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327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2680.1</v>
      </c>
      <c r="I14" s="9">
        <f>G14*H14/12</f>
        <v>0.93803500000000017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340.15963205000008</v>
      </c>
      <c r="Q14" s="8">
        <f>ROUND(P14*30.2/100,2)</f>
        <v>102.73</v>
      </c>
      <c r="R14" s="8">
        <f>P14+Q14</f>
        <v>442.8896320500001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340.15963205000008</v>
      </c>
      <c r="Q15" s="19">
        <f>Q14</f>
        <v>102.73</v>
      </c>
      <c r="R15" s="19">
        <f>R14</f>
        <v>442.8896320500001</v>
      </c>
    </row>
    <row r="16" spans="1:20" ht="15"/>
    <row r="17" spans="1:21" ht="27" customHeight="1">
      <c r="B17" s="273" t="s">
        <v>329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1" ht="42.75" customHeight="1">
      <c r="B18" s="274" t="s">
        <v>330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12</v>
      </c>
      <c r="I20" s="9">
        <f>G20*H20/12</f>
        <v>0.18499999999999997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67.086549999999988</v>
      </c>
      <c r="Q20" s="8">
        <f>ROUND(P20*30.2/100,2)</f>
        <v>20.260000000000002</v>
      </c>
      <c r="R20" s="8">
        <f>P20+Q20</f>
        <v>87.346549999999993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67.086549999999988</v>
      </c>
      <c r="Q21" s="19">
        <f>Q20</f>
        <v>20.260000000000002</v>
      </c>
      <c r="R21" s="19">
        <f>R20</f>
        <v>87.346549999999993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1495.1361820499999</v>
      </c>
      <c r="Q23" s="92">
        <f t="shared" ref="Q23:R23" si="0">Q9+Q15+Q21</f>
        <v>451.53000000000003</v>
      </c>
      <c r="R23" s="92">
        <f t="shared" si="0"/>
        <v>1946.6661820499999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1365</v>
      </c>
    </row>
    <row r="25" spans="1:21" ht="36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1495.1361820499999</v>
      </c>
      <c r="Q25" s="133">
        <f t="shared" ref="Q25:R25" si="1">Q23+Q24</f>
        <v>451.53000000000003</v>
      </c>
      <c r="R25" s="133">
        <f t="shared" si="1"/>
        <v>3311.6661820499999</v>
      </c>
    </row>
    <row r="26" spans="1:21" ht="38.25" customHeight="1">
      <c r="B26" s="266" t="s">
        <v>459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2026-08-21T05:40:08Z</dcterms:modified>
</cp:coreProperties>
</file>