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B3" i="15"/>
  <c r="H10" i="20"/>
  <c r="B3"/>
  <c r="B3" i="17"/>
  <c r="H14" i="18"/>
  <c r="D18" i="8" l="1"/>
  <c r="D15" i="26"/>
  <c r="H15" s="1"/>
  <c r="I15" s="1"/>
  <c r="D15" i="9"/>
  <c r="D15" i="10"/>
  <c r="D18" i="3"/>
  <c r="B3" i="18" l="1"/>
  <c r="H33" i="14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l="1"/>
  <c r="N77" s="1"/>
  <c r="R36" i="12"/>
  <c r="P79" i="13"/>
  <c r="N79"/>
  <c r="P78"/>
  <c r="N78"/>
  <c r="P77"/>
  <c r="N86"/>
  <c r="N83"/>
  <c r="P83"/>
  <c r="R38" i="12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<sst xmlns="http://schemas.openxmlformats.org/spreadsheetml/2006/main" count="1451" uniqueCount="471">
  <si>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</si>
  <si>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</si>
  <si>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</si>
  <si>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</si>
  <si>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</si>
  <si>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</si>
  <si>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</si>
  <si>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</si>
  <si>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</si>
  <si>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</si>
  <si>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</si>
  <si>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</si>
  <si>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</si>
  <si>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</si>
  <si>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</si>
  <si>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</si>
  <si>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</si>
  <si>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</si>
  <si>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</si>
  <si>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</si>
  <si>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</si>
  <si>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</si>
  <si>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</si>
  <si>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</si>
  <si>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</si>
  <si>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</si>
  <si>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</si>
  <si>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</si>
  <si>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</si>
  <si>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</si>
  <si>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</si>
  <si>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</si>
  <si>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</si>
  <si>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</si>
  <si>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</si>
  <si>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</si>
  <si>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</si>
  <si>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</si>
  <si>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</si>
  <si>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</si>
  <si>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</si>
  <si>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</si>
  <si>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</si>
  <si>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</si>
  <si>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</si>
  <si>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</si>
  <si>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</si>
  <si>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</si>
  <si>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</si>
  <si>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</si>
  <si>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</si>
  <si>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</si>
  <si>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</si>
  <si>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</si>
  <si>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</si>
  <si>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</si>
  <si>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</si>
  <si>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</si>
  <si>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</si>
  <si>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</si>
  <si>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</si>
  <si>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</si>
  <si>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</si>
  <si>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</si>
  <si>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</si>
  <si>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</si>
  <si>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</si>
  <si>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</si>
  <si>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</si>
  <si>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</si>
  <si>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</si>
  <si>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</si>
  <si>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</si>
  <si>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</si>
  <si>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</si>
  <si>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</si>
  <si>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</si>
  <si>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</si>
  <si>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</si>
  <si>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</si>
  <si>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</si>
  <si>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</si>
  <si>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</si>
  <si>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</si>
  <si>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</si>
  <si>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</si>
  <si>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</si>
  <si>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</si>
  <si>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</si>
  <si>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</si>
  <si>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</si>
  <si>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</si>
  <si>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</si>
  <si>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</si>
  <si>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</si>
  <si>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</si>
  <si>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</si>
  <si>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</si>
  <si>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</si>
  <si>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</si>
  <si>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</si>
  <si>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</si>
  <si>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</si>
  <si>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</si>
  <si>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</si>
  <si>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</si>
  <si>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</si>
  <si>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</si>
  <si>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</si>
  <si>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</si>
  <si>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</si>
  <si>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</si>
  <si>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</si>
  <si>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</si>
  <si>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</si>
  <si>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</si>
  <si>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</si>
  <si>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</si>
  <si>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</si>
  <si>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</si>
  <si>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</si>
  <si>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</si>
  <si>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</si>
  <si>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</si>
  <si>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</si>
  <si>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</si>
  <si>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</si>
  <si>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</si>
  <si>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</si>
  <si>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</si>
  <si>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</si>
  <si>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</si>
  <si>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</si>
  <si>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</si>
  <si>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</si>
  <si>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</si>
  <si>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</si>
  <si>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</si>
  <si>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</si>
  <si>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</si>
  <si>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</si>
  <si>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</si>
  <si>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</si>
  <si>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</si>
  <si>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</si>
  <si>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</si>
  <si>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</si>
  <si>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</si>
  <si>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</si>
  <si>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</si>
  <si>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</si>
  <si>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</si>
  <si>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</si>
  <si>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</si>
  <si>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</si>
  <si>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</si>
  <si>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</si>
  <si>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</si>
  <si>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</si>
  <si>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</si>
  <si>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</si>
  <si>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</si>
  <si>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</si>
  <si>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</si>
  <si>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</si>
  <si>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</si>
  <si>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</si>
  <si>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</si>
  <si>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</si>
  <si>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</si>
  <si>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</si>
  <si>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</si>
  <si>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</si>
  <si>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</si>
  <si>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</si>
  <si>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</si>
  <si>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</si>
  <si>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</si>
  <si>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</si>
  <si>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</si>
  <si>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</si>
  <si>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</si>
  <si>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</si>
  <si>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</si>
  <si>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</si>
  <si>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</si>
  <si>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</si>
  <si>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</si>
  <si>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</si>
  <si>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</si>
  <si>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</si>
  <si>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</si>
  <si>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</si>
  <si>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</si>
  <si>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</si>
  <si>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</si>
  <si>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</si>
  <si>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</si>
  <si>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</si>
  <si>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</si>
  <si>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</si>
  <si>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</si>
  <si>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</si>
  <si>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</si>
  <si>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</si>
  <si>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</si>
  <si>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</si>
  <si>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</si>
  <si>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</si>
  <si>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</si>
  <si>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</si>
  <si>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</si>
  <si>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</si>
  <si>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</si>
  <si>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</si>
  <si>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</si>
  <si>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</si>
  <si>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</si>
  <si>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</si>
  <si>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</si>
  <si>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</si>
  <si>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</si>
  <si>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</si>
  <si>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</si>
  <si>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</si>
  <si>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</si>
  <si>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</si>
  <si>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</si>
  <si>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</si>
  <si>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</si>
  <si>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</si>
  <si>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</si>
  <si>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</si>
  <si>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</si>
  <si>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</si>
  <si>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</si>
  <si>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</si>
  <si>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</si>
  <si>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</si>
  <si>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</si>
  <si>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</si>
  <si>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</si>
  <si>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</si>
  <si>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</si>
  <si>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</si>
  <si>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</si>
  <si>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</si>
  <si>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</si>
  <si>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</si>
  <si>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</si>
  <si>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</si>
  <si>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</si>
  <si>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</si>
  <si>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</si>
  <si>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</si>
  <si>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</si>
  <si>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</si>
  <si>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</si>
  <si>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</si>
  <si>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</si>
  <si>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</si>
  <si>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</si>
  <si>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</si>
  <si>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</si>
  <si>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</si>
  <si>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</si>
  <si>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</si>
  <si>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</si>
  <si>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</si>
  <si>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</si>
  <si>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</si>
  <si>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</si>
  <si>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</si>
  <si>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</si>
  <si>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</si>
  <si>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</si>
  <si>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</si>
  <si>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</si>
  <si>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</si>
  <si>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</si>
  <si>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</si>
  <si>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</si>
  <si>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</si>
  <si>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</si>
  <si>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</si>
  <si>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</si>
  <si>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</si>
  <si>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</si>
  <si>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</si>
  <si>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</si>
  <si>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</si>
  <si>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</si>
  <si>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</si>
  <si>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</si>
  <si>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</si>
  <si>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</si>
  <si>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</si>
  <si>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</si>
  <si>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</si>
  <si>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</si>
  <si>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</si>
  <si>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</si>
  <si>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</si>
  <si>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</si>
  <si>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</si>
  <si>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</si>
  <si>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</si>
  <si>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</si>
  <si>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</si>
  <si>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</si>
  <si>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</si>
  <si>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</si>
  <si>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</si>
  <si>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</si>
  <si>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</si>
  <si>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</si>
  <si>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</si>
  <si>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</si>
  <si>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</si>
  <si>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</si>
  <si>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</si>
  <si>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</si>
  <si>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</si>
  <si>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</si>
  <si>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</si>
  <si>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</si>
  <si>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</si>
  <si>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</si>
  <si>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</si>
  <si>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</si>
  <si>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</si>
  <si>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</si>
  <si>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</si>
  <si>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</si>
  <si>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</si>
  <si>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</si>
  <si>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</si>
  <si>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</si>
  <si>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</si>
  <si>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</si>
  <si>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</si>
  <si>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</si>
  <si>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</si>
  <si>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</si>
  <si>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</si>
  <si>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</si>
  <si>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</si>
  <si>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</si>
  <si>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</si>
  <si>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</si>
  <si>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</si>
  <si>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</si>
  <si>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</si>
  <si>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</si>
  <si>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</si>
  <si>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</si>
  <si>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</si>
  <si>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</si>
  <si>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</si>
  <si>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</si>
  <si>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</si>
  <si>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</si>
  <si>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</si>
  <si>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</si>
  <si>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</si>
  <si>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</si>
  <si>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</si>
  <si>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</si>
  <si>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</si>
  <si>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</si>
  <si>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</si>
  <si>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</si>
  <si>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</si>
  <si>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</si>
  <si>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</si>
  <si>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</si>
  <si>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</si>
  <si>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</si>
  <si>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</si>
  <si>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</si>
  <si>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</si>
  <si>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</si>
  <si>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</si>
  <si>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</si>
  <si>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</si>
  <si>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</si>
  <si>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</si>
  <si>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</si>
  <si>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</si>
  <si>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</si>
  <si>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</si>
  <si>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</si>
  <si>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</si>
  <si>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</si>
  <si>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</si>
  <si>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</si>
  <si>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</si>
  <si>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</si>
  <si>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</si>
  <si>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</si>
  <si>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</si>
  <si>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</si>
  <si>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</si>
  <si>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</si>
  <si>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</si>
  <si>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</si>
  <si>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</si>
  <si>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</si>
  <si>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</si>
  <si>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</si>
  <si>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</si>
  <si>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</si>
  <si>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</si>
  <si>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</si>
  <si>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</si>
  <si>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</si>
  <si>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</si>
  <si>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</si>
  <si>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</si>
  <si>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</si>
  <si>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</si>
  <si>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</si>
  <si>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</si>
  <si>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</si>
  <si>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</si>
  <si>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</si>
  <si>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</si>
  <si>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</si>
  <si>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</si>
  <si>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</si>
  <si>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</si>
  <si>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</si>
  <si>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</si>
  <si>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</si>
  <si>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</si>
  <si>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</si>
  <si>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</si>
  <si>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</si>
  <si>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</si>
  <si>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</si>
  <si>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</si>
  <si>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</si>
  <si>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</si>
  <si>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</si>
  <si>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</si>
  <si>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</si>
  <si>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</si>
  <si>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</si>
  <si>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</si>
  <si>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</si>
  <si>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</si>
  <si>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</si>
  <si>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</si>
  <si>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</si>
  <si>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</si>
  <si>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</si>
  <si>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</si>
  <si>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</si>
  <si>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</si>
  <si>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</si>
  <si>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</si>
  <si>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</si>
  <si>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</si>
  <si>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</si>
  <si>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</si>
  <si>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</si>
  <si>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</si>
  <si>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</si>
  <si>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</si>
  <si>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ул.Гагарина, д.3</t>
  </si>
  <si>
    <t>с.Чечеул, ул.Гагарина д.3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</si>
</sst>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abSelected="1" topLeftCell="A4" zoomScale="80" zoomScaleNormal="80" workbookViewId="0">
      <selection activeCell="Q10" sqref="Q10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49" t="s">
        <v>435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64.5" customHeight="1">
      <c r="B2" s="249" t="s">
        <v>469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ht="18.75">
      <c r="B3" s="249" t="s">
        <v>446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0" t="s">
        <v>335</v>
      </c>
      <c r="C5" s="251"/>
      <c r="D5" s="252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4">
        <v>326.10000000000002</v>
      </c>
      <c r="P6" s="255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6">
        <v>32.01</v>
      </c>
      <c r="P9" s="257"/>
      <c r="Q9" s="119"/>
    </row>
    <row r="10" spans="1:17" s="51" customFormat="1" ht="35.25" customHeight="1">
      <c r="A10" s="115" t="s">
        <v>16</v>
      </c>
      <c r="B10" s="236" t="s">
        <v>448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36.28</v>
      </c>
      <c r="P10" s="243"/>
      <c r="Q10" s="119">
        <v>36.28</v>
      </c>
    </row>
    <row r="11" spans="1:17" s="51" customFormat="1" ht="46.5" customHeight="1">
      <c r="A11" s="115" t="s">
        <v>17</v>
      </c>
      <c r="B11" s="239" t="s">
        <v>449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/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2"/>
      <c r="P15" s="243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3" t="s">
        <v>433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7" s="4" customFormat="1" ht="62.25" customHeight="1">
      <c r="A18" s="247" t="s">
        <v>69</v>
      </c>
      <c r="B18" s="220" t="s">
        <v>70</v>
      </c>
      <c r="C18" s="215" t="s">
        <v>80</v>
      </c>
      <c r="D18" s="215" t="s">
        <v>81</v>
      </c>
      <c r="E18" s="258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48"/>
      <c r="B19" s="221"/>
      <c r="C19" s="216"/>
      <c r="D19" s="216"/>
      <c r="E19" s="259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97795.367806673283</v>
      </c>
      <c r="F20" s="164">
        <f t="shared" si="0"/>
        <v>29534.207955278613</v>
      </c>
      <c r="G20" s="164">
        <f t="shared" si="0"/>
        <v>2276.7187816899186</v>
      </c>
      <c r="H20" s="164">
        <f t="shared" si="0"/>
        <v>2224.0499392500001</v>
      </c>
      <c r="I20" s="164">
        <f t="shared" si="0"/>
        <v>4875.3034360033598</v>
      </c>
      <c r="J20" s="164">
        <f t="shared" si="0"/>
        <v>0</v>
      </c>
      <c r="K20" s="164">
        <f t="shared" si="0"/>
        <v>3907.8856208065699</v>
      </c>
      <c r="L20" s="164">
        <f t="shared" si="0"/>
        <v>0</v>
      </c>
      <c r="M20" s="164">
        <f t="shared" si="0"/>
        <v>140613.53353970175</v>
      </c>
      <c r="N20" s="164">
        <f t="shared" si="0"/>
        <v>140613.53353970175</v>
      </c>
      <c r="O20" s="164">
        <f t="shared" si="0"/>
        <v>140613.53353970175</v>
      </c>
      <c r="P20" s="164">
        <f t="shared" si="0"/>
        <v>35.93313235707393</v>
      </c>
      <c r="Q20" s="120">
        <f>O20/O6/12</f>
        <v>35.933132357073937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1977.2193091808335</v>
      </c>
      <c r="F21" s="173">
        <f t="shared" ref="F21:M21" si="1">F22+F32+F43+F50+F54</f>
        <v>597.13</v>
      </c>
      <c r="G21" s="173">
        <f t="shared" si="1"/>
        <v>38.493410749999995</v>
      </c>
      <c r="H21" s="173">
        <f t="shared" si="1"/>
        <v>242.43493924999999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2855.2776591808338</v>
      </c>
      <c r="N21" s="173">
        <f>N22+N32+N43+N50+N54</f>
        <v>2855.2776591808338</v>
      </c>
      <c r="O21" s="173">
        <f>O22+O32+O43+O50+O54</f>
        <v>2855.2776591808338</v>
      </c>
      <c r="P21" s="173">
        <f>P22+P32+P43+P50+P54</f>
        <v>0.7296528823420303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1318.1092515808332</v>
      </c>
      <c r="F22" s="180">
        <f t="shared" ref="F22:M22" si="2">SUM(F23:F31)</f>
        <v>398.08</v>
      </c>
      <c r="G22" s="180">
        <f t="shared" si="2"/>
        <v>0</v>
      </c>
      <c r="H22" s="180">
        <f t="shared" si="2"/>
        <v>242.43493924999999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1958.6241908308334</v>
      </c>
      <c r="N22" s="180">
        <f>SUM(N23:N31)</f>
        <v>1958.6241908308334</v>
      </c>
      <c r="O22" s="180">
        <f>SUM(O23:O31)</f>
        <v>1958.6241908308334</v>
      </c>
      <c r="P22" s="180">
        <f>SUM(P23:P31)</f>
        <v>0.5005172725214232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76.766323247499997</v>
      </c>
      <c r="F23" s="14">
        <f>'1.1.1. Осмотр несущ.констр.'!Q37</f>
        <v>23.189999999999998</v>
      </c>
      <c r="G23" s="12"/>
      <c r="H23" s="12"/>
      <c r="I23" s="14"/>
      <c r="J23" s="60"/>
      <c r="K23" s="23"/>
      <c r="L23" s="23"/>
      <c r="M23" s="24">
        <f t="shared" ref="M23:M31" si="3">SUM(E23:L23)</f>
        <v>99.956323247499995</v>
      </c>
      <c r="N23" s="23">
        <f>O23</f>
        <v>99.956323247499995</v>
      </c>
      <c r="O23" s="61">
        <f>'1.1.1. Осмотр несущ.констр.'!R37</f>
        <v>99.956323247499995</v>
      </c>
      <c r="P23" s="61">
        <f>O23/O6/12</f>
        <v>2.5543371983926196E-2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0</v>
      </c>
      <c r="F24" s="14">
        <f>'1.1.1. Осмотр несущ.констр.'!Q42</f>
        <v>0</v>
      </c>
      <c r="G24" s="12"/>
      <c r="H24" s="12"/>
      <c r="I24" s="14"/>
      <c r="J24" s="60"/>
      <c r="K24" s="23"/>
      <c r="L24" s="23"/>
      <c r="M24" s="24">
        <f t="shared" si="3"/>
        <v>0</v>
      </c>
      <c r="N24" s="110">
        <f t="shared" ref="N24:N26" si="4">O24</f>
        <v>0</v>
      </c>
      <c r="O24" s="61">
        <f>'1.1.1. Осмотр несущ.констр.'!R42</f>
        <v>0</v>
      </c>
      <c r="P24" s="61">
        <f>O24/O6/12</f>
        <v>0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1241.3429283333332</v>
      </c>
      <c r="F25" s="14">
        <f>'1.1.1. Очистка подвала'!Q11</f>
        <v>374.89</v>
      </c>
      <c r="G25" s="12"/>
      <c r="H25" s="14">
        <f>'1.1.1. Очистка подвала'!R14</f>
        <v>242.43493924999999</v>
      </c>
      <c r="I25" s="14"/>
      <c r="J25" s="60"/>
      <c r="K25" s="23"/>
      <c r="L25" s="23"/>
      <c r="M25" s="24">
        <f t="shared" si="3"/>
        <v>1858.6678675833334</v>
      </c>
      <c r="N25" s="110">
        <f>'1.1.1. Очистка подвала'!R15</f>
        <v>1858.6678675833334</v>
      </c>
      <c r="O25" s="61">
        <f>N25</f>
        <v>1858.6678675833334</v>
      </c>
      <c r="P25" s="61">
        <f>O25/O6/12</f>
        <v>0.47497390053749705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0</v>
      </c>
      <c r="F26" s="14">
        <f>'1.1.1. Осмотр несущ.констр.'!Q48</f>
        <v>0</v>
      </c>
      <c r="G26" s="12"/>
      <c r="H26" s="12"/>
      <c r="I26" s="14"/>
      <c r="J26" s="60"/>
      <c r="K26" s="23"/>
      <c r="L26" s="23"/>
      <c r="M26" s="24">
        <f t="shared" si="3"/>
        <v>0</v>
      </c>
      <c r="N26" s="110">
        <f t="shared" si="4"/>
        <v>0</v>
      </c>
      <c r="O26" s="61">
        <f>'1.1.1. Осмотр несущ.констр.'!R48</f>
        <v>0</v>
      </c>
      <c r="P26" s="193">
        <f>O26/O6/12</f>
        <v>0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510.03909499999997</v>
      </c>
      <c r="F32" s="180">
        <f t="shared" ref="F32:M32" si="5">SUM(F33:F42)</f>
        <v>154.03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664.06909500000006</v>
      </c>
      <c r="N32" s="180">
        <f>SUM(N33:N42)</f>
        <v>664.06909500000006</v>
      </c>
      <c r="O32" s="180">
        <f>SUM(O33:O42)</f>
        <v>664.06909500000006</v>
      </c>
      <c r="P32" s="180">
        <f>SUM(P33:P42)</f>
        <v>0.1696997585096596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306.02345700000001</v>
      </c>
      <c r="F34" s="14">
        <f>'1.1.2. Осмотр кровли'!Q9</f>
        <v>92.42</v>
      </c>
      <c r="G34" s="12"/>
      <c r="H34" s="12"/>
      <c r="I34" s="14"/>
      <c r="J34" s="12"/>
      <c r="K34" s="23"/>
      <c r="L34" s="23"/>
      <c r="M34" s="24">
        <f t="shared" ref="M34:M90" si="6">SUM(E34:L34)</f>
        <v>398.44345700000002</v>
      </c>
      <c r="N34" s="23">
        <f>O34</f>
        <v>398.44345700000002</v>
      </c>
      <c r="O34" s="14">
        <f>'1.1.2. Осмотр кровли'!R9</f>
        <v>398.44345700000002</v>
      </c>
      <c r="P34" s="14">
        <f>O34/O6/12</f>
        <v>0.10182036619646324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204.015638</v>
      </c>
      <c r="F35" s="14">
        <f>'1.1.2. Осмотр кровли'!Q15</f>
        <v>61.61</v>
      </c>
      <c r="G35" s="12"/>
      <c r="H35" s="12"/>
      <c r="I35" s="14"/>
      <c r="J35" s="12"/>
      <c r="K35" s="23"/>
      <c r="L35" s="23"/>
      <c r="M35" s="24">
        <f t="shared" si="6"/>
        <v>265.62563799999998</v>
      </c>
      <c r="N35" s="110">
        <f>O35</f>
        <v>265.62563799999998</v>
      </c>
      <c r="O35" s="14">
        <f>'1.1.2. Осмотр кровли'!R15</f>
        <v>265.62563799999998</v>
      </c>
      <c r="P35" s="61">
        <f>O35/O6/12</f>
        <v>6.7879392313196354E-2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26.875531500000001</v>
      </c>
      <c r="F43" s="180">
        <f t="shared" ref="F43:M43" si="7">SUM(F44:F49)</f>
        <v>8.1199999999999992</v>
      </c>
      <c r="G43" s="180">
        <f t="shared" si="7"/>
        <v>38.493410749999995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73.488942249999994</v>
      </c>
      <c r="N43" s="180">
        <f>SUM(N44:N49)</f>
        <v>73.488942249999994</v>
      </c>
      <c r="O43" s="180">
        <f>SUM(O44:O49)</f>
        <v>73.488942249999994</v>
      </c>
      <c r="P43" s="188">
        <f>SUM(P44:P49)</f>
        <v>1.877975627363794E-2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26.875531500000001</v>
      </c>
      <c r="F44" s="14">
        <f>'1.1.3. Осмотр окон, дверей'!Q10</f>
        <v>8.1199999999999992</v>
      </c>
      <c r="G44" s="12"/>
      <c r="H44" s="12"/>
      <c r="I44" s="14"/>
      <c r="J44" s="60"/>
      <c r="K44" s="23"/>
      <c r="L44" s="23"/>
      <c r="M44" s="24">
        <f t="shared" si="6"/>
        <v>34.995531499999998</v>
      </c>
      <c r="N44" s="23">
        <f>O44</f>
        <v>34.995531499999998</v>
      </c>
      <c r="O44" s="61">
        <f>'1.1.3. Осмотр окон, дверей'!R10</f>
        <v>34.995531499999998</v>
      </c>
      <c r="P44" s="61">
        <f>O44/O6/12</f>
        <v>8.9429447766533766E-3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38.493410749999995</v>
      </c>
      <c r="H48" s="12"/>
      <c r="I48" s="14"/>
      <c r="J48" s="60"/>
      <c r="K48" s="23"/>
      <c r="L48" s="23"/>
      <c r="M48" s="24">
        <f t="shared" si="6"/>
        <v>38.493410749999995</v>
      </c>
      <c r="N48" s="110">
        <f>O48</f>
        <v>38.493410749999995</v>
      </c>
      <c r="O48" s="14">
        <f>'1.1.3. Осмотр окон, дверей'!R16</f>
        <v>38.493410749999995</v>
      </c>
      <c r="P48" s="14">
        <f>O48/O6/12</f>
        <v>9.8368114969845637E-3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39.417881000000008</v>
      </c>
      <c r="F50" s="183">
        <f t="shared" ref="F50:M50" si="8">SUM(F51:F53)</f>
        <v>11.9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51.317881000000007</v>
      </c>
      <c r="N50" s="183">
        <f>SUM(N51:N53)</f>
        <v>51.317881000000007</v>
      </c>
      <c r="O50" s="183">
        <f>SUM(O51:O53)</f>
        <v>51.317881000000007</v>
      </c>
      <c r="P50" s="183">
        <f>SUM(P51:P53)</f>
        <v>1.3114045027087807E-2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39.417881000000008</v>
      </c>
      <c r="F51" s="14">
        <f>'1.1.4. Осмотр внут.отделки'!Q11</f>
        <v>11.9</v>
      </c>
      <c r="G51" s="12"/>
      <c r="H51" s="12"/>
      <c r="I51" s="14"/>
      <c r="J51" s="60"/>
      <c r="K51" s="23"/>
      <c r="L51" s="23"/>
      <c r="M51" s="24">
        <f t="shared" si="6"/>
        <v>51.317881000000007</v>
      </c>
      <c r="N51" s="23">
        <f>O51</f>
        <v>51.317881000000007</v>
      </c>
      <c r="O51" s="23">
        <f>'1.1.4. Осмотр внут.отделки'!R11</f>
        <v>51.317881000000007</v>
      </c>
      <c r="P51" s="23">
        <f>O51/O6/12</f>
        <v>1.3114045027087807E-2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82.777550100000013</v>
      </c>
      <c r="F54" s="180">
        <f t="shared" ref="F54:M54" si="9">SUM(F55:F57)</f>
        <v>25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107.77755010000001</v>
      </c>
      <c r="N54" s="180">
        <f>SUM(N55:N57)</f>
        <v>107.77755010000001</v>
      </c>
      <c r="O54" s="184">
        <f>SUM(O55:O57)</f>
        <v>107.77755010000001</v>
      </c>
      <c r="P54" s="184">
        <f>SUM(P55:P57)</f>
        <v>2.7542050010221811E-2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0</v>
      </c>
      <c r="F55" s="14">
        <f>'1.1.5. Вентиляция'!Q9</f>
        <v>0</v>
      </c>
      <c r="G55" s="12"/>
      <c r="H55" s="12"/>
      <c r="I55" s="14"/>
      <c r="J55" s="60"/>
      <c r="K55" s="23"/>
      <c r="L55" s="23"/>
      <c r="M55" s="24">
        <f>SUM(E55:L55)</f>
        <v>0</v>
      </c>
      <c r="N55" s="217">
        <f>O55</f>
        <v>107.77755010000001</v>
      </c>
      <c r="O55" s="217">
        <f>'1.1.5. Вентиляция'!R26</f>
        <v>107.77755010000001</v>
      </c>
      <c r="P55" s="217">
        <f>O55/O6/12</f>
        <v>2.7542050010221811E-2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41.388775050000007</v>
      </c>
      <c r="F56" s="14">
        <f>'1.1.5. Вентиляция'!Q16</f>
        <v>12.5</v>
      </c>
      <c r="G56" s="12"/>
      <c r="H56" s="12"/>
      <c r="I56" s="14"/>
      <c r="J56" s="60"/>
      <c r="K56" s="23"/>
      <c r="L56" s="23"/>
      <c r="M56" s="24">
        <f t="shared" ref="M56:M57" si="10">SUM(E56:L56)</f>
        <v>53.888775050000007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41.388775050000007</v>
      </c>
      <c r="F57" s="14">
        <f>'1.1.5. Вентиляция'!Q22</f>
        <v>12.5</v>
      </c>
      <c r="G57" s="12"/>
      <c r="H57" s="12"/>
      <c r="I57" s="14"/>
      <c r="J57" s="60"/>
      <c r="K57" s="23"/>
      <c r="L57" s="23"/>
      <c r="M57" s="24">
        <f t="shared" si="10"/>
        <v>53.888775050000007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25564.123989582229</v>
      </c>
      <c r="F58" s="173">
        <f t="shared" ref="F58:M58" si="11">F59+F68+F76+F92</f>
        <v>7720.362553889734</v>
      </c>
      <c r="G58" s="173">
        <f t="shared" si="11"/>
        <v>1330.5</v>
      </c>
      <c r="H58" s="173">
        <f t="shared" si="11"/>
        <v>1981.615</v>
      </c>
      <c r="I58" s="173">
        <f t="shared" si="11"/>
        <v>0</v>
      </c>
      <c r="J58" s="173">
        <f t="shared" si="11"/>
        <v>0</v>
      </c>
      <c r="K58" s="173">
        <f t="shared" si="11"/>
        <v>810.22729700161153</v>
      </c>
      <c r="L58" s="173">
        <f t="shared" si="11"/>
        <v>0</v>
      </c>
      <c r="M58" s="173">
        <f t="shared" si="11"/>
        <v>37406.828840473579</v>
      </c>
      <c r="N58" s="174">
        <f>N59+N68+N76+N92</f>
        <v>37406.828840473579</v>
      </c>
      <c r="O58" s="173">
        <f>O59+O68+O76+O92</f>
        <v>37406.828840473579</v>
      </c>
      <c r="P58" s="173">
        <f>P59+P68+P76+P92</f>
        <v>9.5591405602763917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2436.8736000000004</v>
      </c>
      <c r="F59" s="180">
        <f t="shared" ref="F59:M59" si="12">SUM(F60:F67)</f>
        <v>735.93</v>
      </c>
      <c r="G59" s="180">
        <f t="shared" si="12"/>
        <v>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3172.8036000000002</v>
      </c>
      <c r="N59" s="185">
        <f>SUM(N60:N67)</f>
        <v>3172.8036000000002</v>
      </c>
      <c r="O59" s="180">
        <f>SUM(O60:O67)</f>
        <v>3172.8036000000002</v>
      </c>
      <c r="P59" s="180">
        <f>SUM(P60:P66)</f>
        <v>0.81079515486047216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145.05199999999999</v>
      </c>
      <c r="F60" s="14">
        <f>'1.2.1. Осмотр ХВС'!Q9</f>
        <v>43.81</v>
      </c>
      <c r="G60" s="5">
        <f>'1.2.1. Осмотр ХВС'!R30</f>
        <v>0</v>
      </c>
      <c r="H60" s="12"/>
      <c r="I60" s="14"/>
      <c r="J60" s="12"/>
      <c r="K60" s="23"/>
      <c r="L60" s="23"/>
      <c r="M60" s="24">
        <f t="shared" si="6"/>
        <v>188.86199999999999</v>
      </c>
      <c r="N60" s="14">
        <f>O60</f>
        <v>188.86199999999999</v>
      </c>
      <c r="O60" s="14">
        <f>'1.2.1. Осмотр ХВС'!R9</f>
        <v>188.86199999999999</v>
      </c>
      <c r="P60" s="14">
        <f>O60/O6/12</f>
        <v>4.8262802821220481E-2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870.31200000000013</v>
      </c>
      <c r="F61" s="14">
        <f>'1.2.1. Осмотр ХВС'!Q15</f>
        <v>262.83</v>
      </c>
      <c r="G61" s="5"/>
      <c r="H61" s="12"/>
      <c r="I61" s="14"/>
      <c r="J61" s="12"/>
      <c r="K61" s="23"/>
      <c r="L61" s="23"/>
      <c r="M61" s="24">
        <f t="shared" si="6"/>
        <v>1133.1420000000001</v>
      </c>
      <c r="N61" s="14">
        <f>O61</f>
        <v>1133.1420000000001</v>
      </c>
      <c r="O61" s="14">
        <f>'1.2.1. Осмотр ХВС'!R15</f>
        <v>1133.1420000000001</v>
      </c>
      <c r="P61" s="14">
        <f>O61/O6/12</f>
        <v>0.28956915056731064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1044.3743999999999</v>
      </c>
      <c r="F62" s="14">
        <f>'1.2.1. Осмотр ХВС'!Q21</f>
        <v>315.39999999999998</v>
      </c>
      <c r="G62" s="9"/>
      <c r="H62" s="12"/>
      <c r="I62" s="14"/>
      <c r="J62" s="12"/>
      <c r="K62" s="23"/>
      <c r="L62" s="23"/>
      <c r="M62" s="24">
        <f t="shared" si="6"/>
        <v>1359.7743999999998</v>
      </c>
      <c r="N62" s="14">
        <f t="shared" ref="N62:N63" si="13">O62</f>
        <v>1359.7743999999998</v>
      </c>
      <c r="O62" s="8">
        <f>'1.2.1. Осмотр ХВС'!R21</f>
        <v>1359.7743999999998</v>
      </c>
      <c r="P62" s="8">
        <f>O62/O6/12</f>
        <v>0.34748400286210762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377.1352</v>
      </c>
      <c r="F63" s="14">
        <f>'1.2.1. Осмотр ХВС'!Q27</f>
        <v>113.89</v>
      </c>
      <c r="G63" s="9"/>
      <c r="H63" s="12"/>
      <c r="I63" s="14"/>
      <c r="J63" s="12"/>
      <c r="K63" s="23"/>
      <c r="L63" s="23"/>
      <c r="M63" s="24">
        <f t="shared" si="6"/>
        <v>491.02519999999998</v>
      </c>
      <c r="N63" s="14">
        <f t="shared" si="13"/>
        <v>491.02519999999998</v>
      </c>
      <c r="O63" s="69">
        <f>'1.2.1. Осмотр ХВС'!R27</f>
        <v>491.02519999999998</v>
      </c>
      <c r="P63" s="69">
        <f>O63/O6/12</f>
        <v>0.12547919860983336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186.44077505000001</v>
      </c>
      <c r="F68" s="180">
        <f t="shared" ref="F68:M68" si="14">SUM(F69:F75)</f>
        <v>56.31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242.75077505000002</v>
      </c>
      <c r="N68" s="185">
        <f>SUM(N69:N75)</f>
        <v>242.75077505000002</v>
      </c>
      <c r="O68" s="185">
        <f>SUM(O69:O75)</f>
        <v>242.75077505000002</v>
      </c>
      <c r="P68" s="185">
        <f>SUM(P69:P75)</f>
        <v>6.2033827826331385E-2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145.05199999999999</v>
      </c>
      <c r="F69" s="14">
        <f>'1.2.2. Осмотр ВО'!Q9</f>
        <v>43.81</v>
      </c>
      <c r="G69" s="12"/>
      <c r="H69" s="12"/>
      <c r="I69" s="14"/>
      <c r="J69" s="60"/>
      <c r="K69" s="23"/>
      <c r="L69" s="23"/>
      <c r="M69" s="24">
        <f t="shared" si="6"/>
        <v>188.86199999999999</v>
      </c>
      <c r="N69" s="23">
        <f>O69</f>
        <v>188.86199999999999</v>
      </c>
      <c r="O69" s="61">
        <f>'1.2.2. Осмотр ВО'!R9</f>
        <v>188.86199999999999</v>
      </c>
      <c r="P69" s="61">
        <f>O69/O6/12</f>
        <v>4.8262802821220481E-2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41.388775050000007</v>
      </c>
      <c r="F70" s="14">
        <f>'1.2.2. Осмотр ВО'!Q15</f>
        <v>12.5</v>
      </c>
      <c r="G70" s="12"/>
      <c r="H70" s="12"/>
      <c r="I70" s="14"/>
      <c r="J70" s="60"/>
      <c r="K70" s="23"/>
      <c r="L70" s="23"/>
      <c r="M70" s="24">
        <f t="shared" si="6"/>
        <v>53.888775050000007</v>
      </c>
      <c r="N70" s="110">
        <f>O70</f>
        <v>53.888775050000007</v>
      </c>
      <c r="O70" s="61">
        <f>'1.2.2. Осмотр ВО'!R15</f>
        <v>53.888775050000007</v>
      </c>
      <c r="P70" s="61">
        <f>O70/O6/12</f>
        <v>1.3771025005110906E-2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0</v>
      </c>
      <c r="F75" s="14">
        <f>'1.2.2. Осмотр ВО'!Q21</f>
        <v>0</v>
      </c>
      <c r="G75" s="12"/>
      <c r="H75" s="12"/>
      <c r="I75" s="14"/>
      <c r="J75" s="60"/>
      <c r="K75" s="23"/>
      <c r="L75" s="23"/>
      <c r="M75" s="24">
        <f t="shared" si="6"/>
        <v>0</v>
      </c>
      <c r="N75" s="14">
        <f>O75</f>
        <v>0</v>
      </c>
      <c r="O75" s="61">
        <f>'1.2.2. Осмотр ВО'!R21</f>
        <v>0</v>
      </c>
      <c r="P75" s="61">
        <f>O75/O6/12</f>
        <v>0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12070.5036745</v>
      </c>
      <c r="F76" s="180">
        <f t="shared" ref="F76:P76" si="15">SUM(F77:F91)</f>
        <v>3645.29016</v>
      </c>
      <c r="G76" s="180">
        <f t="shared" si="15"/>
        <v>0</v>
      </c>
      <c r="H76" s="180">
        <f t="shared" si="15"/>
        <v>1981.615</v>
      </c>
      <c r="I76" s="180">
        <f t="shared" si="15"/>
        <v>0</v>
      </c>
      <c r="J76" s="180">
        <f t="shared" si="15"/>
        <v>0</v>
      </c>
      <c r="K76" s="180">
        <f t="shared" si="15"/>
        <v>266.71199999999999</v>
      </c>
      <c r="L76" s="180">
        <f t="shared" si="15"/>
        <v>0</v>
      </c>
      <c r="M76" s="180">
        <f t="shared" si="15"/>
        <v>17964.120834500001</v>
      </c>
      <c r="N76" s="180">
        <f t="shared" si="15"/>
        <v>17964.120834500001</v>
      </c>
      <c r="O76" s="180">
        <f t="shared" si="15"/>
        <v>17964.120834500001</v>
      </c>
      <c r="P76" s="180">
        <f t="shared" si="15"/>
        <v>4.5906472540376164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98.5447025</v>
      </c>
      <c r="F77" s="14">
        <f>'1.2.3. ЦО тех осмотры'!Q9</f>
        <v>29.76</v>
      </c>
      <c r="G77" s="12"/>
      <c r="H77" s="12"/>
      <c r="I77" s="14"/>
      <c r="J77" s="60"/>
      <c r="K77" s="23"/>
      <c r="L77" s="23"/>
      <c r="M77" s="24">
        <f>SUM(E77:L77)</f>
        <v>128.30470249999999</v>
      </c>
      <c r="N77" s="23">
        <f>O77</f>
        <v>128.30470249999999</v>
      </c>
      <c r="O77" s="61">
        <f>'1.2.3. ЦО тех осмотры'!R9</f>
        <v>128.30470249999999</v>
      </c>
      <c r="P77" s="61">
        <f>O77/O6/12</f>
        <v>3.2787668021056933E-2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473.0145720000001</v>
      </c>
      <c r="F78" s="14">
        <f>'1.2.3. ЦО тех осмотры'!Q16</f>
        <v>142.85</v>
      </c>
      <c r="G78" s="12"/>
      <c r="H78" s="12"/>
      <c r="I78" s="14"/>
      <c r="J78" s="60"/>
      <c r="K78" s="23"/>
      <c r="L78" s="23"/>
      <c r="M78" s="24">
        <f t="shared" si="6"/>
        <v>615.86457200000007</v>
      </c>
      <c r="N78" s="110">
        <f t="shared" ref="N78:N86" si="16">O78</f>
        <v>615.86457200000007</v>
      </c>
      <c r="O78" s="61">
        <f>'1.2.3. ЦО тех осмотры'!R16</f>
        <v>615.86457200000007</v>
      </c>
      <c r="P78" s="61">
        <f>O78/O6/12</f>
        <v>0.15738131759174079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0</v>
      </c>
      <c r="H79" s="12"/>
      <c r="I79" s="14"/>
      <c r="J79" s="60"/>
      <c r="K79" s="23"/>
      <c r="L79" s="23"/>
      <c r="M79" s="24">
        <f t="shared" si="6"/>
        <v>1888.58</v>
      </c>
      <c r="N79" s="110">
        <f t="shared" si="16"/>
        <v>1888.58</v>
      </c>
      <c r="O79" s="61">
        <f>'1.2.3. ЦО тех осмотры'!R22+'1.2.3. ЦО тех осмотры'!R37</f>
        <v>1888.58</v>
      </c>
      <c r="P79" s="61">
        <f>O79/O6/12</f>
        <v>0.4826178063988551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275.59879999999998</v>
      </c>
      <c r="F83" s="14">
        <f>'1.2.3. ЦО тех осмотры'!Q28</f>
        <v>83.23</v>
      </c>
      <c r="G83" s="12"/>
      <c r="H83" s="12"/>
      <c r="I83" s="14"/>
      <c r="J83" s="60"/>
      <c r="K83" s="23"/>
      <c r="L83" s="23"/>
      <c r="M83" s="24">
        <f t="shared" si="6"/>
        <v>358.8288</v>
      </c>
      <c r="N83" s="110">
        <f t="shared" si="16"/>
        <v>358.8288</v>
      </c>
      <c r="O83" s="61">
        <f>'1.2.3. ЦО тех осмотры'!R28</f>
        <v>358.8288</v>
      </c>
      <c r="P83" s="61">
        <f>O83/O6/12</f>
        <v>9.1697025452315228E-2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1778.08</v>
      </c>
      <c r="F85" s="14">
        <f>'1.2.3. ЦО опрессовка'!H13</f>
        <v>536.98015999999996</v>
      </c>
      <c r="G85" s="12"/>
      <c r="H85" s="14">
        <f>'1.2.3. ЦО опрессовка'!H14</f>
        <v>1981.615</v>
      </c>
      <c r="I85" s="14">
        <f>'1.2.3. ЦО опрессовка'!H17</f>
        <v>0</v>
      </c>
      <c r="J85" s="60"/>
      <c r="K85" s="23">
        <f>'1.2.3. ЦО опрессовка'!H16</f>
        <v>266.71199999999999</v>
      </c>
      <c r="L85" s="23"/>
      <c r="M85" s="24">
        <f t="shared" si="6"/>
        <v>4563.3871600000002</v>
      </c>
      <c r="N85" s="110">
        <f t="shared" si="16"/>
        <v>4563.3871600000002</v>
      </c>
      <c r="O85" s="61">
        <f>'1.2.3. ЦО опрессовка'!H18</f>
        <v>4563.3871600000002</v>
      </c>
      <c r="P85" s="61">
        <f>O85/O6/12</f>
        <v>1.166152294797097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7658.7456000000002</v>
      </c>
      <c r="F86" s="14">
        <f>'1.2.3. ЦО тех осмотры'!Q34</f>
        <v>2312.94</v>
      </c>
      <c r="G86" s="12"/>
      <c r="H86" s="12"/>
      <c r="I86" s="14"/>
      <c r="J86" s="60"/>
      <c r="K86" s="23"/>
      <c r="L86" s="23"/>
      <c r="M86" s="24">
        <f t="shared" si="6"/>
        <v>9971.6856000000007</v>
      </c>
      <c r="N86" s="110">
        <f t="shared" si="16"/>
        <v>9971.6856000000007</v>
      </c>
      <c r="O86" s="61">
        <f>'1.2.3. ЦО тех осмотры'!R34</f>
        <v>9971.6856000000007</v>
      </c>
      <c r="P86" s="61">
        <f>O86/O6/12</f>
        <v>2.5482177246243483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0</v>
      </c>
      <c r="H91" s="12"/>
      <c r="I91" s="14"/>
      <c r="J91" s="60"/>
      <c r="K91" s="123"/>
      <c r="L91" s="123"/>
      <c r="M91" s="24">
        <f>SUM(E91:L91)</f>
        <v>437.47</v>
      </c>
      <c r="N91" s="124">
        <f>'1.2.3. Замена труб отопления'!R13</f>
        <v>437.47</v>
      </c>
      <c r="O91" s="124">
        <f>N91</f>
        <v>437.47</v>
      </c>
      <c r="P91" s="124">
        <f>N91/O6/12</f>
        <v>0.1117934171522028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10870.305940032231</v>
      </c>
      <c r="F92" s="180">
        <f t="shared" ref="F92:M92" si="17">SUM(F93:F98)</f>
        <v>3282.8323938897338</v>
      </c>
      <c r="G92" s="180">
        <f t="shared" si="17"/>
        <v>1330.5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543.51529700161154</v>
      </c>
      <c r="L92" s="180">
        <f t="shared" si="17"/>
        <v>0</v>
      </c>
      <c r="M92" s="180">
        <f t="shared" si="17"/>
        <v>16027.153630923576</v>
      </c>
      <c r="N92" s="185">
        <f>SUM(N93:N98)</f>
        <v>16027.153630923576</v>
      </c>
      <c r="O92" s="185">
        <f>SUM(O93:O98)</f>
        <v>16027.153630923576</v>
      </c>
      <c r="P92" s="185">
        <f>SUM(P93:P98)</f>
        <v>4.0956643235519721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10870.305940032231</v>
      </c>
      <c r="F93" s="14">
        <f>'1.2.4. Электрооборудование'!E8</f>
        <v>3282.8323938897338</v>
      </c>
      <c r="G93" s="12"/>
      <c r="H93" s="12"/>
      <c r="I93" s="14"/>
      <c r="J93" s="60"/>
      <c r="K93" s="23">
        <f>'1.2.4. Электрооборудование'!E9</f>
        <v>543.51529700161154</v>
      </c>
      <c r="L93" s="23"/>
      <c r="M93" s="24">
        <f t="shared" ref="M93:M135" si="18">SUM(E93:L93)</f>
        <v>14696.653630923576</v>
      </c>
      <c r="N93" s="23">
        <f>O93</f>
        <v>14696.653630923576</v>
      </c>
      <c r="O93" s="61">
        <f>'1.2.4. Электрооборудование'!G13</f>
        <v>14696.653630923576</v>
      </c>
      <c r="P93" s="61">
        <f>O93/O6/12</f>
        <v>3.7556612570079668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1330.5</v>
      </c>
      <c r="H94" s="12"/>
      <c r="I94" s="14"/>
      <c r="J94" s="60"/>
      <c r="K94" s="23"/>
      <c r="L94" s="23"/>
      <c r="M94" s="24">
        <f t="shared" si="18"/>
        <v>1330.5</v>
      </c>
      <c r="N94" s="23">
        <f>O94</f>
        <v>1330.5</v>
      </c>
      <c r="O94" s="61">
        <f>'1.2.4. Электрооборудование'!G14</f>
        <v>1330.5</v>
      </c>
      <c r="P94" s="61">
        <f>O94/O6/12</f>
        <v>0.34000306654400486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50653.019663617582</v>
      </c>
      <c r="F99" s="173">
        <f t="shared" ref="F99:M99" si="19">F100+F107+F117</f>
        <v>15297.211938412507</v>
      </c>
      <c r="G99" s="173">
        <f t="shared" si="19"/>
        <v>907.72537093991878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157.5075971610641</v>
      </c>
      <c r="L99" s="173">
        <f t="shared" si="19"/>
        <v>0</v>
      </c>
      <c r="M99" s="173">
        <f t="shared" si="19"/>
        <v>67015.46457013108</v>
      </c>
      <c r="N99" s="174">
        <f>N100+N107+N117</f>
        <v>67015.46457013108</v>
      </c>
      <c r="O99" s="174">
        <f>O100+O107+O117</f>
        <v>67015.46457013108</v>
      </c>
      <c r="P99" s="174">
        <f>P100+P107+P117</f>
        <v>17.125489259463116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24906.60713757178</v>
      </c>
      <c r="F100" s="180">
        <f t="shared" ref="F100:M100" si="20">SUM(F101:F106)</f>
        <v>7521.7953555466765</v>
      </c>
      <c r="G100" s="180">
        <f t="shared" si="20"/>
        <v>295.29899380348189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44.294849070522289</v>
      </c>
      <c r="L100" s="180">
        <f t="shared" si="20"/>
        <v>0</v>
      </c>
      <c r="M100" s="180">
        <f t="shared" si="20"/>
        <v>32767.996335992462</v>
      </c>
      <c r="N100" s="184">
        <f>SUM(N101:N106)</f>
        <v>32767.996335992466</v>
      </c>
      <c r="O100" s="184">
        <f>SUM(O101:O106)</f>
        <v>32767.996335992466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24906.60713757178</v>
      </c>
      <c r="F101" s="217">
        <f>'1.3.1. Уборка МОП'!F8</f>
        <v>7521.7953555466765</v>
      </c>
      <c r="G101" s="217">
        <f>'1.3.1. Уборка МОП'!F9</f>
        <v>295.29899380348189</v>
      </c>
      <c r="H101" s="12"/>
      <c r="I101" s="14"/>
      <c r="J101" s="60"/>
      <c r="K101" s="217">
        <f>'1.3.1. Уборка МОП'!F10</f>
        <v>44.294849070522289</v>
      </c>
      <c r="L101" s="23"/>
      <c r="M101" s="24">
        <f t="shared" si="18"/>
        <v>32767.996335992462</v>
      </c>
      <c r="N101" s="217">
        <f>O101</f>
        <v>32767.996335992466</v>
      </c>
      <c r="O101" s="217">
        <f>'1.3.1. Уборка МОП'!H15</f>
        <v>32767.996335992466</v>
      </c>
      <c r="P101" s="217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25746.412526045802</v>
      </c>
      <c r="F107" s="180">
        <f t="shared" ref="F107:M107" si="21">SUM(F108:F116)</f>
        <v>7775.4165828658315</v>
      </c>
      <c r="G107" s="180">
        <f t="shared" si="21"/>
        <v>612.42637713643694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113.21274809054179</v>
      </c>
      <c r="L107" s="180">
        <f t="shared" si="21"/>
        <v>0</v>
      </c>
      <c r="M107" s="180">
        <f t="shared" si="21"/>
        <v>34247.468234138614</v>
      </c>
      <c r="N107" s="180">
        <f>N108+N115</f>
        <v>34247.468234138614</v>
      </c>
      <c r="O107" s="180">
        <f>O108+O115</f>
        <v>34247.468234138614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24906.60713757178</v>
      </c>
      <c r="F108" s="217">
        <f>'1.3.2.Уборка зем.участка'!F8</f>
        <v>7521.7953555466765</v>
      </c>
      <c r="G108" s="217">
        <f>'1.3.2.Уборка зем.участка'!F9</f>
        <v>398.93846193567424</v>
      </c>
      <c r="H108" s="12"/>
      <c r="I108" s="14"/>
      <c r="J108" s="60"/>
      <c r="K108" s="217">
        <f>'1.3.2.Уборка зем.участка'!F10</f>
        <v>59.840769290351133</v>
      </c>
      <c r="L108" s="23"/>
      <c r="M108" s="24">
        <f t="shared" si="18"/>
        <v>32887.181724344482</v>
      </c>
      <c r="N108" s="217">
        <f>O108</f>
        <v>32887.181724344482</v>
      </c>
      <c r="O108" s="217">
        <f>'1.3.2.Уборка зем.участка'!H15</f>
        <v>32887.181724344482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839.80538847402238</v>
      </c>
      <c r="F115" s="14">
        <f>'1.3.2. Скос травы'!H8</f>
        <v>253.62122731915477</v>
      </c>
      <c r="G115" s="14">
        <f>'1.3.2. Скос травы'!H9</f>
        <v>213.48791520076267</v>
      </c>
      <c r="H115" s="12"/>
      <c r="I115" s="14"/>
      <c r="J115" s="60"/>
      <c r="K115" s="23">
        <f>'1.3.2. Скос травы'!H10</f>
        <v>53.371978800190668</v>
      </c>
      <c r="L115" s="23"/>
      <c r="M115" s="24">
        <f t="shared" si="18"/>
        <v>1360.2865097941306</v>
      </c>
      <c r="N115" s="23">
        <f>'1.3.2. Скос травы'!J15</f>
        <v>1360.2865097941306</v>
      </c>
      <c r="O115" s="61">
        <f>'1.3.2. Скос травы'!J15</f>
        <v>1360.2865097941306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19601.004844292627</v>
      </c>
      <c r="F134" s="173">
        <f t="shared" ref="F134:M134" si="26">F135</f>
        <v>5919.5034629763722</v>
      </c>
      <c r="G134" s="173">
        <f t="shared" si="26"/>
        <v>0</v>
      </c>
      <c r="H134" s="173">
        <f t="shared" si="26"/>
        <v>0</v>
      </c>
      <c r="I134" s="173">
        <f t="shared" si="26"/>
        <v>4875.3034360033598</v>
      </c>
      <c r="J134" s="173">
        <f t="shared" si="26"/>
        <v>0</v>
      </c>
      <c r="K134" s="173">
        <f t="shared" si="26"/>
        <v>2940.1507266438944</v>
      </c>
      <c r="L134" s="173">
        <f t="shared" si="26"/>
        <v>0</v>
      </c>
      <c r="M134" s="173">
        <f t="shared" si="26"/>
        <v>33335.962469916252</v>
      </c>
      <c r="N134" s="174">
        <f>N135</f>
        <v>33335.962469916252</v>
      </c>
      <c r="O134" s="174">
        <f>O135</f>
        <v>33335.962469916252</v>
      </c>
      <c r="P134" s="174">
        <f>P135</f>
        <v>8.5188496549923975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19601.004844292627</v>
      </c>
      <c r="F135" s="14">
        <f>'1.5. АДС'!H12</f>
        <v>5919.5034629763722</v>
      </c>
      <c r="G135" s="14"/>
      <c r="H135" s="14"/>
      <c r="I135" s="14">
        <f>'1.5. АДС'!H13</f>
        <v>4875.3034360033598</v>
      </c>
      <c r="J135" s="23"/>
      <c r="K135" s="23">
        <f>'1.5. АДС'!H14</f>
        <v>2940.1507266438944</v>
      </c>
      <c r="L135" s="23"/>
      <c r="M135" s="24">
        <f t="shared" si="18"/>
        <v>33335.962469916252</v>
      </c>
      <c r="N135" s="14">
        <f>O135</f>
        <v>33335.962469916252</v>
      </c>
      <c r="O135" s="61">
        <f>'1.5. АДС'!J18</f>
        <v>33335.962469916252</v>
      </c>
      <c r="P135" s="61">
        <f>O135/O6/12</f>
        <v>8.5188496549923975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28.906151803345665</v>
      </c>
      <c r="F136" s="167">
        <f>F137</f>
        <v>8.7296578446103918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908.89004023197231</v>
      </c>
      <c r="J136" s="167">
        <f t="shared" si="27"/>
        <v>0</v>
      </c>
      <c r="K136" s="167">
        <f t="shared" si="27"/>
        <v>408.55022187166628</v>
      </c>
      <c r="L136" s="167">
        <f t="shared" si="27"/>
        <v>0</v>
      </c>
      <c r="M136" s="167">
        <f t="shared" si="27"/>
        <v>1355.0760717515946</v>
      </c>
      <c r="N136" s="168">
        <f>N137</f>
        <v>1355.08</v>
      </c>
      <c r="O136" s="168">
        <f>O137</f>
        <v>1355.08</v>
      </c>
      <c r="P136" s="168">
        <f>P137</f>
        <v>0.34628437084738833</v>
      </c>
      <c r="Q136" s="120">
        <f>O136/O6/12</f>
        <v>0.34628437084738833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28.906151803345665</v>
      </c>
      <c r="F137" s="14">
        <f>'2. Управление'!E12</f>
        <v>8.7296578446103918</v>
      </c>
      <c r="G137" s="14"/>
      <c r="H137" s="14"/>
      <c r="I137" s="14">
        <f>'2. Управление'!E13</f>
        <v>908.89004023197231</v>
      </c>
      <c r="J137" s="23"/>
      <c r="K137" s="23">
        <f>'2. Управление'!E14</f>
        <v>408.55022187166628</v>
      </c>
      <c r="L137" s="23"/>
      <c r="M137" s="24">
        <f>SUM(E137:L137)</f>
        <v>1355.0760717515946</v>
      </c>
      <c r="N137" s="23">
        <f>O137</f>
        <v>1355.08</v>
      </c>
      <c r="O137" s="61">
        <f>'2. Управление'!G18</f>
        <v>1355.08</v>
      </c>
      <c r="P137" s="61">
        <f>O137/O6/12</f>
        <v>0.34628437084738833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97824.273958476624</v>
      </c>
      <c r="F138" s="53">
        <f t="shared" si="28"/>
        <v>29542.937613123224</v>
      </c>
      <c r="G138" s="53">
        <f t="shared" si="28"/>
        <v>2276.7187816899186</v>
      </c>
      <c r="H138" s="53">
        <f t="shared" si="28"/>
        <v>2224.0499392500001</v>
      </c>
      <c r="I138" s="53">
        <f t="shared" si="28"/>
        <v>5784.1934762353321</v>
      </c>
      <c r="J138" s="53">
        <f t="shared" si="28"/>
        <v>0</v>
      </c>
      <c r="K138" s="53">
        <f t="shared" si="28"/>
        <v>4316.4358426782364</v>
      </c>
      <c r="L138" s="53">
        <f t="shared" si="28"/>
        <v>0</v>
      </c>
      <c r="M138" s="53">
        <f t="shared" si="28"/>
        <v>141968.60961145334</v>
      </c>
      <c r="N138" s="53">
        <f>N20+N136</f>
        <v>141968.61353970174</v>
      </c>
      <c r="O138" s="53">
        <f>O20+O136</f>
        <v>141968.61353970174</v>
      </c>
      <c r="P138" s="53">
        <f>O138/B139/12</f>
        <v>36.279416727921323</v>
      </c>
      <c r="Q138" s="120">
        <v>36.28</v>
      </c>
    </row>
    <row r="139" spans="1:17" hidden="1">
      <c r="A139" s="64"/>
      <c r="B139" s="189">
        <f>O6</f>
        <v>326.10000000000002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450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1" workbookViewId="0">
      <selection activeCell="S17" sqref="S17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9.5" customHeight="1">
      <c r="B2" s="272" t="s">
        <v>444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3.25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8.7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41.25" customHeight="1">
      <c r="B5" s="273" t="s">
        <v>218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0.5" customHeight="1">
      <c r="B6" s="274" t="s">
        <v>287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326.10000000000002</v>
      </c>
      <c r="I8" s="158">
        <f>G8*H8/12</f>
        <v>0.27174999999999999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98.5447025</v>
      </c>
      <c r="Q8" s="8">
        <f>ROUND(P8*30.2/100,2)</f>
        <v>29.76</v>
      </c>
      <c r="R8" s="8">
        <f>P8+Q8</f>
        <v>128.30470249999999</v>
      </c>
    </row>
    <row r="9" spans="1:20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98.5447025</v>
      </c>
      <c r="Q9" s="19">
        <f>Q8</f>
        <v>29.76</v>
      </c>
      <c r="R9" s="19">
        <f>R8</f>
        <v>128.30470249999999</v>
      </c>
    </row>
    <row r="10" spans="1:20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20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20" s="21" customFormat="1" ht="38.25" customHeight="1">
      <c r="B12" s="267" t="s">
        <v>231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20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20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20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326.10000000000002</v>
      </c>
      <c r="I15" s="9">
        <f>G15*H15</f>
        <v>1.3044000000000002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473.0145720000001</v>
      </c>
      <c r="Q15" s="8">
        <f>ROUND(P15*30.2/100,2)</f>
        <v>142.85</v>
      </c>
      <c r="R15" s="8">
        <f>P15+Q15</f>
        <v>615.86457200000007</v>
      </c>
      <c r="T15" s="28">
        <v>326.10000000000002</v>
      </c>
    </row>
    <row r="16" spans="1:20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473.0145720000001</v>
      </c>
      <c r="Q16" s="19">
        <f>Q15</f>
        <v>142.85</v>
      </c>
      <c r="R16" s="19">
        <f>R15</f>
        <v>615.86457200000007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69" t="s">
        <v>233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68" t="s">
        <v>240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4</v>
      </c>
      <c r="I27" s="9">
        <f>G27*H27</f>
        <v>0.76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275.59879999999998</v>
      </c>
      <c r="Q27" s="8">
        <f>ROUND(P27*30.2/100,2)</f>
        <v>83.23</v>
      </c>
      <c r="R27" s="8">
        <f>P27+Q27</f>
        <v>358.8288</v>
      </c>
      <c r="T27" s="159">
        <v>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275.59879999999998</v>
      </c>
      <c r="Q28" s="19">
        <f>Q27</f>
        <v>83.23</v>
      </c>
      <c r="R28" s="19">
        <f>R27</f>
        <v>358.8288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68" t="s">
        <v>418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128</v>
      </c>
      <c r="I33" s="9">
        <f>G33*H33</f>
        <v>21.12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7658.7456000000002</v>
      </c>
      <c r="Q33" s="8">
        <f>ROUND(P33*30.2/100,2)</f>
        <v>2312.94</v>
      </c>
      <c r="R33" s="8">
        <f>P33+Q33</f>
        <v>9971.6856000000007</v>
      </c>
      <c r="T33" s="159">
        <v>128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7658.7456000000002</v>
      </c>
      <c r="Q34" s="19">
        <f>Q33</f>
        <v>2312.94</v>
      </c>
      <c r="R34" s="19">
        <f>R33</f>
        <v>9971.6856000000007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9956.4236744999998</v>
      </c>
      <c r="Q36" s="92">
        <f t="shared" ref="Q36" si="0">Q9+Q16+Q22+Q28+Q34</f>
        <v>3006.84</v>
      </c>
      <c r="R36" s="92">
        <f>R9+R16+R22+R28+R34</f>
        <v>12963.263674500002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0</v>
      </c>
    </row>
    <row r="38" spans="1:20" ht="29.25" customHeight="1">
      <c r="A38" s="134"/>
      <c r="B38" s="264" t="s">
        <v>360</v>
      </c>
      <c r="C38" s="265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9956.4236744999998</v>
      </c>
      <c r="Q38" s="133">
        <f t="shared" ref="Q38:R38" si="1">Q36+Q37</f>
        <v>3006.84</v>
      </c>
      <c r="R38" s="133">
        <f t="shared" si="1"/>
        <v>12963.263674500002</v>
      </c>
    </row>
    <row r="39" spans="1:20" ht="38.25" customHeight="1">
      <c r="B39" s="266" t="s">
        <v>461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10" workbookViewId="0">
      <selection activeCell="E14" sqref="E14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342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407</v>
      </c>
      <c r="C2" s="272"/>
      <c r="D2" s="272"/>
      <c r="E2" s="272"/>
      <c r="F2" s="272"/>
      <c r="G2" s="272"/>
      <c r="H2" s="272"/>
    </row>
    <row r="3" spans="1:12" ht="26.25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</row>
    <row r="4" spans="1:12" ht="18.75" customHeight="1">
      <c r="B4" s="272" t="s">
        <v>451</v>
      </c>
      <c r="C4" s="272"/>
      <c r="D4" s="272"/>
      <c r="E4" s="272"/>
      <c r="F4" s="272"/>
      <c r="G4" s="272"/>
      <c r="H4" s="27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1778.08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1</v>
      </c>
      <c r="E9" s="9">
        <v>329.66</v>
      </c>
      <c r="F9" s="44">
        <v>164.8</v>
      </c>
      <c r="G9" s="46">
        <v>30787</v>
      </c>
      <c r="H9" s="8">
        <f>ROUND(D9*E9,2)</f>
        <v>329.66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1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362.63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1</v>
      </c>
      <c r="E11" s="9">
        <v>398.98</v>
      </c>
      <c r="F11" s="44">
        <f>F9</f>
        <v>164.8</v>
      </c>
      <c r="G11" s="46">
        <v>30787</v>
      </c>
      <c r="H11" s="8">
        <f t="shared" si="0"/>
        <v>398.98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1</v>
      </c>
      <c r="E12" s="9">
        <v>686.81</v>
      </c>
      <c r="F12" s="44">
        <f>F9</f>
        <v>164.8</v>
      </c>
      <c r="G12" s="46">
        <v>30787</v>
      </c>
      <c r="H12" s="8">
        <f t="shared" si="0"/>
        <v>686.81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536.98015999999996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1">
        <v>0.5</v>
      </c>
      <c r="E14" s="9">
        <v>3963.23</v>
      </c>
      <c r="F14" s="44"/>
      <c r="G14" s="44"/>
      <c r="H14" s="8">
        <f>D14*E14</f>
        <v>1981.615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266.71199999999999</v>
      </c>
      <c r="I16" s="100">
        <v>15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4563.3871600000002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6" t="s">
        <v>462</v>
      </c>
      <c r="C20" s="266"/>
      <c r="D20" s="266"/>
      <c r="E20" s="266"/>
      <c r="F20" s="266"/>
      <c r="G20" s="266"/>
      <c r="H20" s="266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7" workbookViewId="0">
      <selection activeCell="R12" sqref="R12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15.75">
      <c r="B2" s="272" t="s">
        <v>445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15.75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9.2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68" t="s">
        <v>414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128</v>
      </c>
      <c r="I8" s="9">
        <f>G8*H8</f>
        <v>21.12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128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0</v>
      </c>
    </row>
    <row r="13" spans="1:20" ht="24" customHeight="1">
      <c r="A13" s="134"/>
      <c r="B13" s="264" t="s">
        <v>360</v>
      </c>
      <c r="C13" s="265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437.47</v>
      </c>
    </row>
    <row r="14" spans="1:20" ht="49.5" customHeight="1">
      <c r="B14" s="266" t="s">
        <v>463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9" workbookViewId="0">
      <selection activeCell="G13" sqref="G13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1" t="s">
        <v>339</v>
      </c>
      <c r="C1" s="271"/>
      <c r="D1" s="271"/>
      <c r="E1" s="271"/>
      <c r="F1" s="271"/>
      <c r="G1" s="271"/>
    </row>
    <row r="2" spans="1:13" ht="58.5" customHeight="1">
      <c r="B2" s="272" t="s">
        <v>408</v>
      </c>
      <c r="C2" s="272"/>
      <c r="D2" s="272"/>
      <c r="E2" s="272"/>
      <c r="F2" s="272"/>
      <c r="G2" s="272"/>
    </row>
    <row r="3" spans="1:13" ht="32.25" customHeight="1">
      <c r="B3" s="272" t="s">
        <v>451</v>
      </c>
      <c r="C3" s="272"/>
      <c r="D3" s="272"/>
      <c r="E3" s="272"/>
      <c r="F3" s="272"/>
      <c r="G3" s="27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3" t="s">
        <v>400</v>
      </c>
      <c r="F5" s="250" t="s">
        <v>5</v>
      </c>
      <c r="G5" s="252"/>
    </row>
    <row r="6" spans="1:13" s="4" customFormat="1" ht="36.75" customHeight="1">
      <c r="A6" s="290"/>
      <c r="B6" s="221"/>
      <c r="C6" s="221"/>
      <c r="D6" s="292"/>
      <c r="E6" s="294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10870.305940032231</v>
      </c>
      <c r="F7" s="14">
        <v>48953.599999999999</v>
      </c>
      <c r="G7" s="8">
        <f>F7*12</f>
        <v>587443.19999999995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3282.8323938897338</v>
      </c>
      <c r="F8" s="14">
        <f>F7*30.2/100</f>
        <v>14783.9872</v>
      </c>
      <c r="G8" s="8">
        <f>G7*D8/100</f>
        <v>177407.84639999998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543.51529700161154</v>
      </c>
      <c r="F9" s="23">
        <f>F7*H9/100</f>
        <v>2447.6799999999998</v>
      </c>
      <c r="G9" s="69">
        <f>G7*H9/100</f>
        <v>29372.16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66185.267199999987</v>
      </c>
      <c r="G10" s="24">
        <f>SUM(G7:G9)</f>
        <v>794223.20639999991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3.7556612570079664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326.10000000000002</v>
      </c>
      <c r="E13" s="153">
        <f>E7+E8+E9</f>
        <v>14696.653630923576</v>
      </c>
      <c r="F13" s="24">
        <f>D12*D13</f>
        <v>1224.721135910298</v>
      </c>
      <c r="G13" s="19">
        <f>F13*12</f>
        <v>14696.653630923576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1330.5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16027.153630923576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6" t="s">
        <v>464</v>
      </c>
      <c r="C17" s="266"/>
      <c r="D17" s="266"/>
      <c r="E17" s="266"/>
      <c r="F17" s="266"/>
      <c r="G17" s="266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6"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1" t="s">
        <v>344</v>
      </c>
      <c r="C1" s="271"/>
      <c r="D1" s="271"/>
      <c r="E1" s="271"/>
      <c r="F1" s="271"/>
      <c r="G1" s="271"/>
      <c r="H1" s="271"/>
    </row>
    <row r="2" spans="1:15" ht="58.5" customHeight="1">
      <c r="B2" s="272" t="s">
        <v>466</v>
      </c>
      <c r="C2" s="272"/>
      <c r="D2" s="272"/>
      <c r="E2" s="272"/>
      <c r="F2" s="272"/>
      <c r="G2" s="272"/>
      <c r="H2" s="272"/>
    </row>
    <row r="3" spans="1:15" ht="32.25" customHeight="1">
      <c r="B3" s="272" t="s">
        <v>451</v>
      </c>
      <c r="C3" s="272"/>
      <c r="D3" s="272"/>
      <c r="E3" s="272"/>
      <c r="F3" s="272"/>
      <c r="G3" s="272"/>
      <c r="H3" s="27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3" t="s">
        <v>400</v>
      </c>
      <c r="G5" s="250" t="s">
        <v>5</v>
      </c>
      <c r="H5" s="252"/>
    </row>
    <row r="6" spans="1:15" s="4" customFormat="1" ht="36.75" customHeight="1">
      <c r="A6" s="290"/>
      <c r="B6" s="221"/>
      <c r="C6" s="221"/>
      <c r="D6" s="292"/>
      <c r="E6" s="296"/>
      <c r="F6" s="294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24906.60713757178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7521.7953555466765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295.29899380348189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44.294849070522289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326.10000000000002</v>
      </c>
      <c r="E15" s="201"/>
      <c r="F15" s="207">
        <f>F7+F8+F9+F10</f>
        <v>32767.996335992462</v>
      </c>
      <c r="G15" s="133">
        <f>D14*D15</f>
        <v>2730.6663613327055</v>
      </c>
      <c r="H15" s="133">
        <f>G15*12</f>
        <v>32767.996335992466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66" t="s">
        <v>465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1" t="s">
        <v>345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409</v>
      </c>
      <c r="C2" s="272"/>
      <c r="D2" s="272"/>
      <c r="E2" s="272"/>
      <c r="F2" s="272"/>
      <c r="G2" s="272"/>
      <c r="H2" s="272"/>
    </row>
    <row r="3" spans="1:12" ht="25.5" customHeight="1">
      <c r="B3" s="272" t="s">
        <v>451</v>
      </c>
      <c r="C3" s="272"/>
      <c r="D3" s="272"/>
      <c r="E3" s="272"/>
      <c r="F3" s="272"/>
      <c r="G3" s="272"/>
      <c r="H3" s="27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5" t="s">
        <v>400</v>
      </c>
      <c r="G5" s="250" t="s">
        <v>248</v>
      </c>
      <c r="H5" s="252"/>
    </row>
    <row r="6" spans="1:12" s="4" customFormat="1" ht="36.75" customHeight="1">
      <c r="A6" s="290"/>
      <c r="B6" s="221"/>
      <c r="C6" s="221"/>
      <c r="D6" s="292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24906.60713757178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7521.7953555466765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398.93846193567424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59.840769290351133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326.10000000000002</v>
      </c>
      <c r="E15" s="201"/>
      <c r="F15" s="207">
        <f>F7+F8+F9+F10</f>
        <v>32887.181724344482</v>
      </c>
      <c r="G15" s="133">
        <f>D14*D15</f>
        <v>2740.5984770287068</v>
      </c>
      <c r="H15" s="133">
        <f>G15*12</f>
        <v>32887.181724344482</v>
      </c>
      <c r="I15" s="147">
        <f>F15-H15</f>
        <v>0</v>
      </c>
      <c r="J15" s="97"/>
      <c r="K15" s="97"/>
      <c r="L15" s="97"/>
    </row>
    <row r="16" spans="1:12" ht="49.5" customHeight="1">
      <c r="B16" s="266" t="s">
        <v>464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11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1" t="s">
        <v>345</v>
      </c>
      <c r="C1" s="271"/>
      <c r="D1" s="271"/>
      <c r="E1" s="271"/>
      <c r="F1" s="271"/>
      <c r="G1" s="271"/>
      <c r="H1" s="271"/>
      <c r="I1" s="271"/>
      <c r="J1" s="271"/>
    </row>
    <row r="2" spans="1:14" ht="58.5" customHeight="1">
      <c r="B2" s="272" t="s">
        <v>410</v>
      </c>
      <c r="C2" s="272"/>
      <c r="D2" s="272"/>
      <c r="E2" s="272"/>
      <c r="F2" s="272"/>
      <c r="G2" s="272"/>
      <c r="H2" s="272"/>
      <c r="I2" s="272"/>
      <c r="J2" s="272"/>
    </row>
    <row r="3" spans="1:14" ht="25.5" customHeight="1">
      <c r="B3" s="272" t="s">
        <v>451</v>
      </c>
      <c r="C3" s="272"/>
      <c r="D3" s="272"/>
      <c r="E3" s="272"/>
      <c r="F3" s="272"/>
      <c r="G3" s="272"/>
      <c r="H3" s="272"/>
      <c r="I3" s="272"/>
      <c r="J3" s="27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413</v>
      </c>
      <c r="G5" s="298" t="s">
        <v>44</v>
      </c>
      <c r="H5" s="300" t="s">
        <v>400</v>
      </c>
      <c r="I5" s="250" t="s">
        <v>248</v>
      </c>
      <c r="J5" s="252"/>
    </row>
    <row r="6" spans="1:14" s="4" customFormat="1" ht="36.75" customHeight="1">
      <c r="A6" s="290"/>
      <c r="B6" s="221"/>
      <c r="C6" s="221"/>
      <c r="D6" s="292"/>
      <c r="E6" s="216"/>
      <c r="F6" s="299"/>
      <c r="G6" s="299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839.80538847402238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253.62122731915477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213.48791520076267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53.371978800190668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326.10000000000002</v>
      </c>
      <c r="E15" s="108"/>
      <c r="F15" s="108"/>
      <c r="G15" s="201"/>
      <c r="H15" s="207">
        <f>H7+H8+H9+H10</f>
        <v>1360.2865097941306</v>
      </c>
      <c r="I15" s="133">
        <f>D14*D15</f>
        <v>113.35720914951088</v>
      </c>
      <c r="J15" s="133">
        <f>I15*12</f>
        <v>1360.2865097941306</v>
      </c>
      <c r="K15" s="147">
        <f>H15-J15</f>
        <v>0</v>
      </c>
      <c r="L15" s="97"/>
      <c r="M15" s="97"/>
      <c r="N15" s="97"/>
    </row>
    <row r="16" spans="1:14" ht="54" customHeight="1">
      <c r="B16" s="266" t="s">
        <v>454</v>
      </c>
      <c r="C16" s="266"/>
      <c r="D16" s="266"/>
      <c r="E16" s="266"/>
      <c r="F16" s="266"/>
      <c r="G16" s="266"/>
      <c r="H16" s="266"/>
      <c r="I16" s="266"/>
      <c r="J16" s="266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340</v>
      </c>
      <c r="C1" s="271"/>
      <c r="D1" s="271"/>
      <c r="E1" s="271"/>
      <c r="F1" s="271"/>
      <c r="G1" s="271"/>
      <c r="H1" s="271"/>
      <c r="I1" s="271"/>
      <c r="J1" s="271"/>
    </row>
    <row r="2" spans="1:12" ht="39" customHeight="1">
      <c r="B2" s="272" t="s">
        <v>411</v>
      </c>
      <c r="C2" s="272"/>
      <c r="D2" s="272"/>
      <c r="E2" s="272"/>
      <c r="F2" s="272"/>
      <c r="G2" s="272"/>
      <c r="H2" s="272"/>
      <c r="I2" s="272"/>
      <c r="J2" s="272"/>
    </row>
    <row r="3" spans="1:12" ht="25.5" customHeight="1">
      <c r="B3" s="272" t="s">
        <v>451</v>
      </c>
      <c r="C3" s="272"/>
      <c r="D3" s="272"/>
      <c r="E3" s="272"/>
      <c r="F3" s="272"/>
      <c r="G3" s="272"/>
      <c r="H3" s="272"/>
      <c r="I3" s="272"/>
      <c r="J3" s="27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2"/>
      <c r="B5" s="220" t="s">
        <v>28</v>
      </c>
      <c r="C5" s="220" t="s">
        <v>3</v>
      </c>
      <c r="D5" s="215" t="s">
        <v>4</v>
      </c>
      <c r="E5" s="215" t="s">
        <v>30</v>
      </c>
      <c r="F5" s="304" t="s">
        <v>467</v>
      </c>
      <c r="G5" s="304" t="s">
        <v>44</v>
      </c>
      <c r="H5" s="300" t="s">
        <v>400</v>
      </c>
      <c r="I5" s="250" t="s">
        <v>5</v>
      </c>
      <c r="J5" s="252"/>
    </row>
    <row r="6" spans="1:12" s="4" customFormat="1" ht="35.450000000000003" customHeight="1">
      <c r="A6" s="303"/>
      <c r="B6" s="221"/>
      <c r="C6" s="221"/>
      <c r="D6" s="216"/>
      <c r="E6" s="216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19601.004844292627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5919.5034629763722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4875.3034360033598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2940.1507266438944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326.10000000000002</v>
      </c>
      <c r="E18" s="202"/>
      <c r="F18" s="205"/>
      <c r="G18" s="205"/>
      <c r="H18" s="209">
        <f>H7+H12+H13+H14</f>
        <v>33335.962469916252</v>
      </c>
      <c r="I18" s="202">
        <f>D17*D18</f>
        <v>2777.9968724930209</v>
      </c>
      <c r="J18" s="202">
        <f>I18*12</f>
        <v>33335.962469916252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6" t="s">
        <v>453</v>
      </c>
      <c r="C20" s="266"/>
      <c r="D20" s="266"/>
      <c r="E20" s="266"/>
      <c r="F20" s="266"/>
      <c r="G20" s="266"/>
      <c r="H20" s="266"/>
      <c r="I20" s="266"/>
      <c r="J20" s="266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1" t="s">
        <v>343</v>
      </c>
      <c r="C1" s="271"/>
      <c r="D1" s="271"/>
      <c r="E1" s="271"/>
      <c r="F1" s="271"/>
      <c r="G1" s="271"/>
    </row>
    <row r="2" spans="1:12" ht="39" customHeight="1">
      <c r="B2" s="272" t="s">
        <v>412</v>
      </c>
      <c r="C2" s="272"/>
      <c r="D2" s="272"/>
      <c r="E2" s="272"/>
      <c r="F2" s="272"/>
      <c r="G2" s="272"/>
    </row>
    <row r="3" spans="1:12" ht="29.25" customHeight="1">
      <c r="B3" s="272" t="s">
        <v>451</v>
      </c>
      <c r="C3" s="272"/>
      <c r="D3" s="272"/>
      <c r="E3" s="272"/>
      <c r="F3" s="272"/>
      <c r="G3" s="27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2"/>
      <c r="B5" s="220" t="s">
        <v>28</v>
      </c>
      <c r="C5" s="306" t="s">
        <v>3</v>
      </c>
      <c r="D5" s="215" t="s">
        <v>4</v>
      </c>
      <c r="E5" s="293" t="s">
        <v>402</v>
      </c>
      <c r="F5" s="250" t="s">
        <v>5</v>
      </c>
      <c r="G5" s="252"/>
    </row>
    <row r="6" spans="1:12" s="4" customFormat="1" ht="39" customHeight="1">
      <c r="A6" s="303"/>
      <c r="B6" s="221"/>
      <c r="C6" s="307"/>
      <c r="D6" s="216"/>
      <c r="E6" s="294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28.906151803345665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8.7296578446103918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908.89004023197231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408.55022187166628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326.10000000000002</v>
      </c>
      <c r="E18" s="211">
        <f>E11+E12+E13+E14</f>
        <v>1355.0760717515946</v>
      </c>
      <c r="F18" s="202">
        <f>G18/12</f>
        <v>112.92333333333333</v>
      </c>
      <c r="G18" s="202">
        <f>ROUND(G15/D16*D18,2)</f>
        <v>1355.08</v>
      </c>
      <c r="H18" s="147">
        <f>E18-G18</f>
        <v>-3.9282484053728695E-3</v>
      </c>
      <c r="I18" s="27"/>
      <c r="J18" s="28"/>
      <c r="K18" s="28"/>
      <c r="L18" s="28"/>
    </row>
    <row r="19" spans="1:12" ht="59.25" customHeight="1">
      <c r="B19" s="266" t="s">
        <v>468</v>
      </c>
      <c r="C19" s="266"/>
      <c r="D19" s="266"/>
      <c r="E19" s="266"/>
      <c r="F19" s="266"/>
      <c r="G19" s="266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1" t="s">
        <v>345</v>
      </c>
      <c r="C1" s="271"/>
      <c r="D1" s="271"/>
      <c r="E1" s="271"/>
      <c r="F1" s="271"/>
      <c r="G1" s="271"/>
      <c r="H1" s="271"/>
      <c r="I1" s="271"/>
    </row>
    <row r="2" spans="1:13" ht="58.5" customHeight="1">
      <c r="B2" s="272" t="s">
        <v>301</v>
      </c>
      <c r="C2" s="272"/>
      <c r="D2" s="272"/>
      <c r="E2" s="272"/>
      <c r="F2" s="272"/>
      <c r="G2" s="272"/>
      <c r="H2" s="272"/>
      <c r="I2" s="272"/>
    </row>
    <row r="3" spans="1:13" ht="25.5" customHeight="1">
      <c r="B3" s="272" t="s">
        <v>22</v>
      </c>
      <c r="C3" s="272"/>
      <c r="D3" s="272"/>
      <c r="E3" s="272"/>
      <c r="F3" s="272"/>
      <c r="G3" s="272"/>
      <c r="H3" s="272"/>
      <c r="I3" s="27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45</v>
      </c>
      <c r="G5" s="298" t="s">
        <v>44</v>
      </c>
      <c r="H5" s="250" t="s">
        <v>248</v>
      </c>
      <c r="I5" s="252"/>
    </row>
    <row r="6" spans="1:13" s="4" customFormat="1" ht="36.75" customHeight="1">
      <c r="A6" s="290"/>
      <c r="B6" s="221"/>
      <c r="C6" s="221"/>
      <c r="D6" s="292"/>
      <c r="E6" s="216"/>
      <c r="F6" s="299"/>
      <c r="G6" s="299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326.10000000000002</v>
      </c>
      <c r="E15" s="108"/>
      <c r="F15" s="108"/>
      <c r="G15" s="104"/>
      <c r="H15" s="93">
        <f>D14*D15</f>
        <v>111.94953827941708</v>
      </c>
      <c r="I15" s="93">
        <f>H15*12</f>
        <v>1343.394459353005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43" zoomScale="90" zoomScaleNormal="90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58.5" customHeight="1">
      <c r="B2" s="272" t="s">
        <v>436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">
        <v>470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249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25.15" customHeight="1">
      <c r="B6" s="274" t="s">
        <v>250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326.10000000000002</v>
      </c>
      <c r="I8" s="9">
        <f>G8*H8</f>
        <v>0.12717900000000001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46.118920770000003</v>
      </c>
      <c r="Q8" s="8">
        <f>ROUND(P8*30.2/100,2)</f>
        <v>13.93</v>
      </c>
      <c r="R8" s="8">
        <f>P8+Q8</f>
        <v>60.048920770000002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46.118920770000003</v>
      </c>
      <c r="Q9" s="19">
        <f>Q8</f>
        <v>13.93</v>
      </c>
      <c r="R9" s="19">
        <f>R8</f>
        <v>60.048920770000002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252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38.25" customHeight="1">
      <c r="B13" s="268" t="s">
        <v>253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326.10000000000002</v>
      </c>
      <c r="I15" s="157">
        <f>G15*H15/12</f>
        <v>8.4514249999999999E-2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30.647402477499998</v>
      </c>
      <c r="Q15" s="8">
        <f>ROUND(P15*30.2/100,2)</f>
        <v>9.26</v>
      </c>
      <c r="R15" s="8">
        <f>P15+Q15</f>
        <v>39.9074024775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30.647402477499998</v>
      </c>
      <c r="Q16" s="19">
        <f>Q15</f>
        <v>9.26</v>
      </c>
      <c r="R16" s="19">
        <f>R15</f>
        <v>39.9074024775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69" t="s">
        <v>255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38.25" customHeight="1">
      <c r="B19" s="270" t="s">
        <v>256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v>0</v>
      </c>
      <c r="I21" s="158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68" t="s">
        <v>256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v>0</v>
      </c>
      <c r="I27" s="157">
        <f>G27*H27/12</f>
        <v>0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0</v>
      </c>
      <c r="Q27" s="8">
        <f>ROUND(P27*30.2/100,2)</f>
        <v>0</v>
      </c>
      <c r="R27" s="8">
        <f>P27+Q27</f>
        <v>0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0</v>
      </c>
      <c r="Q28" s="19">
        <f>Q27</f>
        <v>0</v>
      </c>
      <c r="R28" s="19">
        <f>R27</f>
        <v>0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68" t="s">
        <v>261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0</v>
      </c>
      <c r="I33" s="158">
        <f>G33*H33/12</f>
        <v>0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0</v>
      </c>
      <c r="Q33" s="8">
        <f>ROUND(P33*30.2/100,2)</f>
        <v>0</v>
      </c>
      <c r="R33" s="8">
        <f>P33+Q33</f>
        <v>0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0</v>
      </c>
      <c r="Q34" s="19">
        <f>Q33</f>
        <v>0</v>
      </c>
      <c r="R34" s="19">
        <f>R33</f>
        <v>0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76.766323247499997</v>
      </c>
      <c r="Q37" s="133">
        <f t="shared" si="0"/>
        <v>23.189999999999998</v>
      </c>
      <c r="R37" s="133">
        <f>R9+R16+R22+R28+R34</f>
        <v>99.956323247499995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68" t="s">
        <v>261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v>0</v>
      </c>
      <c r="I41" s="9">
        <f>G41*H41/12</f>
        <v>0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0</v>
      </c>
      <c r="Q41" s="8">
        <f>ROUND(P41*30.2/100,2)</f>
        <v>0</v>
      </c>
      <c r="R41" s="8">
        <f>P41+Q41</f>
        <v>0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0</v>
      </c>
      <c r="Q42" s="19">
        <f>Q41</f>
        <v>0</v>
      </c>
      <c r="R42" s="19">
        <f>R41</f>
        <v>0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68" t="s">
        <v>308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v>0</v>
      </c>
      <c r="I47" s="158">
        <f>G47*H47/12</f>
        <v>0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0</v>
      </c>
      <c r="Q47" s="8">
        <f>ROUND(P47*30.2/100,2)</f>
        <v>0</v>
      </c>
      <c r="R47" s="8">
        <f>P47+Q47</f>
        <v>0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0</v>
      </c>
      <c r="Q48" s="19">
        <f>Q47</f>
        <v>0</v>
      </c>
      <c r="R48" s="19">
        <f>R47</f>
        <v>0</v>
      </c>
    </row>
    <row r="49" spans="1:18" ht="43.5" customHeight="1"/>
    <row r="50" spans="1:18" ht="37.5" customHeight="1">
      <c r="A50" s="108">
        <v>1</v>
      </c>
      <c r="B50" s="260" t="s">
        <v>221</v>
      </c>
      <c r="C50" s="26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76.766323247499997</v>
      </c>
      <c r="Q50" s="92">
        <f t="shared" ref="Q50:R50" si="1">Q9+Q16+Q22+Q28+Q34+Q42+Q48</f>
        <v>23.189999999999998</v>
      </c>
      <c r="R50" s="92">
        <f t="shared" si="1"/>
        <v>99.956323247499995</v>
      </c>
    </row>
    <row r="51" spans="1:18" ht="37.5" customHeight="1">
      <c r="A51" s="108">
        <v>2</v>
      </c>
      <c r="B51" s="262" t="s">
        <v>359</v>
      </c>
      <c r="C51" s="26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4" t="s">
        <v>360</v>
      </c>
      <c r="C52" s="26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76.766323247499997</v>
      </c>
      <c r="Q52" s="133">
        <f t="shared" ref="Q52:R52" si="2">Q50+Q51</f>
        <v>23.189999999999998</v>
      </c>
      <c r="R52" s="133">
        <f t="shared" si="2"/>
        <v>99.956323247499995</v>
      </c>
    </row>
    <row r="53" spans="1:18" ht="50.25" customHeight="1">
      <c r="B53" s="266" t="s">
        <v>452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9" workbookViewId="0">
      <selection activeCell="B3" sqref="B3:R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4.25" customHeight="1">
      <c r="B2" s="272" t="s">
        <v>437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4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68" t="s">
        <v>431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216.2</v>
      </c>
      <c r="I10" s="8">
        <f>G10*H10/12/2</f>
        <v>3.4231666666666665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1241.3429283333332</v>
      </c>
      <c r="Q10" s="8">
        <f>ROUND(P10*30.2/100,2)</f>
        <v>374.89</v>
      </c>
      <c r="R10" s="8">
        <f>P10+Q10</f>
        <v>1616.2329283333333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1241.3429283333332</v>
      </c>
      <c r="Q11" s="19">
        <f>Q10</f>
        <v>374.89</v>
      </c>
      <c r="R11" s="19">
        <f>R10</f>
        <v>1616.2329283333333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1241.3429283333332</v>
      </c>
      <c r="Q13" s="92">
        <f t="shared" ref="Q13:R13" si="0">Q11</f>
        <v>374.89</v>
      </c>
      <c r="R13" s="92">
        <f t="shared" si="0"/>
        <v>1616.2329283333333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242.43493924999999</v>
      </c>
      <c r="S14" s="54">
        <v>15</v>
      </c>
      <c r="T14" s="54" t="s">
        <v>19</v>
      </c>
    </row>
    <row r="15" spans="1:20" s="21" customFormat="1" ht="32.25" customHeight="1">
      <c r="A15" s="108"/>
      <c r="B15" s="264" t="s">
        <v>360</v>
      </c>
      <c r="C15" s="26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1241.3429283333332</v>
      </c>
      <c r="Q15" s="133">
        <f t="shared" ref="Q15:R15" si="1">Q13+Q14</f>
        <v>374.89</v>
      </c>
      <c r="R15" s="133">
        <f t="shared" si="1"/>
        <v>1858.6678675833334</v>
      </c>
    </row>
    <row r="16" spans="1:20" ht="50.25" customHeight="1">
      <c r="B16" s="266" t="s">
        <v>453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15" workbookViewId="0">
      <selection activeCell="H8" sqref="H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68" t="s">
        <v>265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281.3</v>
      </c>
      <c r="I8" s="9">
        <f>G8*H8</f>
        <v>0.84390000000000009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306.02345700000001</v>
      </c>
      <c r="Q8" s="8">
        <f>ROUND(P8*30.2/100,2)</f>
        <v>92.42</v>
      </c>
      <c r="R8" s="8">
        <f>P8+Q8</f>
        <v>398.44345700000002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306.02345700000001</v>
      </c>
      <c r="Q9" s="19">
        <f>Q8</f>
        <v>92.42</v>
      </c>
      <c r="R9" s="19">
        <f>R8</f>
        <v>398.44345700000002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68" t="s">
        <v>309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f>H8</f>
        <v>281.3</v>
      </c>
      <c r="I14" s="9">
        <f>G14*H14</f>
        <v>0.56259999999999999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204.015638</v>
      </c>
      <c r="Q14" s="8">
        <f>ROUND(P14*30.2/100,2)</f>
        <v>61.61</v>
      </c>
      <c r="R14" s="8">
        <f>P14+Q14</f>
        <v>265.62563799999998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204.015638</v>
      </c>
      <c r="Q15" s="19">
        <f>Q14</f>
        <v>61.61</v>
      </c>
      <c r="R15" s="19">
        <f>R14</f>
        <v>265.62563799999998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68" t="s">
        <v>312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510.03909499999997</v>
      </c>
      <c r="Q23" s="92">
        <f t="shared" ref="Q23:R23" si="0">Q9+Q15+Q21</f>
        <v>154.03</v>
      </c>
      <c r="R23" s="92">
        <f t="shared" si="0"/>
        <v>664.06909500000006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510.03909499999997</v>
      </c>
      <c r="Q25" s="133">
        <f t="shared" ref="Q25:R25" si="1">Q23+Q24</f>
        <v>154.03</v>
      </c>
      <c r="R25" s="133">
        <f t="shared" si="1"/>
        <v>664.06909500000006</v>
      </c>
    </row>
    <row r="26" spans="1:18" ht="45.75" customHeight="1">
      <c r="B26" s="266" t="s">
        <v>454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2" workbookViewId="0">
      <selection activeCell="I15" sqref="I1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27.75" customHeight="1">
      <c r="B2" s="272" t="s">
        <v>439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68" t="s">
        <v>263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326.10000000000002</v>
      </c>
      <c r="I9" s="9">
        <f>G9*H9/12</f>
        <v>8.1525E-2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26.875531500000001</v>
      </c>
      <c r="Q9" s="8">
        <f>ROUND(P9*30.2/100,2)</f>
        <v>8.1199999999999992</v>
      </c>
      <c r="R9" s="8">
        <f>P9+Q9</f>
        <v>34.995531499999998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26.875531500000001</v>
      </c>
      <c r="Q10" s="19">
        <f>Q9</f>
        <v>8.1199999999999992</v>
      </c>
      <c r="R10" s="19">
        <f>R9</f>
        <v>34.995531499999998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326.10000000000002</v>
      </c>
      <c r="I15" s="9">
        <f>G15*H15/12</f>
        <v>8.1525E-2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29.563410749999999</v>
      </c>
      <c r="Q15" s="8">
        <f>ROUND(P15*30.2/100,2)</f>
        <v>8.93</v>
      </c>
      <c r="R15" s="8">
        <f>P15+Q15</f>
        <v>38.493410749999995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29.563410749999999</v>
      </c>
      <c r="Q16" s="19">
        <f>Q15</f>
        <v>8.93</v>
      </c>
      <c r="R16" s="19">
        <f>R15</f>
        <v>38.493410749999995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56.438942249999997</v>
      </c>
      <c r="Q18" s="92">
        <f t="shared" ref="Q18:R18" si="0">Q10+Q16</f>
        <v>17.049999999999997</v>
      </c>
      <c r="R18" s="92">
        <f t="shared" si="0"/>
        <v>73.488942249999994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0</v>
      </c>
    </row>
    <row r="20" spans="1:18" s="148" customFormat="1" ht="34.5" customHeight="1">
      <c r="A20" s="132"/>
      <c r="B20" s="264" t="s">
        <v>360</v>
      </c>
      <c r="C20" s="265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56.438942249999997</v>
      </c>
      <c r="Q20" s="133">
        <f t="shared" ref="Q20:R20" si="1">Q18+Q19</f>
        <v>17.049999999999997</v>
      </c>
      <c r="R20" s="133">
        <f t="shared" si="1"/>
        <v>73.488942249999994</v>
      </c>
    </row>
    <row r="21" spans="1:18" ht="44.25" customHeight="1">
      <c r="B21" s="266" t="s">
        <v>455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topLeftCell="A6"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440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.75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456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68" t="s">
        <v>317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326.10000000000002</v>
      </c>
      <c r="I10" s="158">
        <f>G10*H10/12</f>
        <v>0.10870000000000002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39.417881000000008</v>
      </c>
      <c r="Q10" s="8">
        <f>ROUND(P10*30.2/100,2)</f>
        <v>11.9</v>
      </c>
      <c r="R10" s="8">
        <f>P10+Q10</f>
        <v>51.317881000000007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39.417881000000008</v>
      </c>
      <c r="Q11" s="19">
        <f>Q10</f>
        <v>11.9</v>
      </c>
      <c r="R11" s="19">
        <f>R10</f>
        <v>51.317881000000007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39.417881000000008</v>
      </c>
      <c r="Q13" s="92">
        <f t="shared" ref="Q13:R13" si="0">Q11</f>
        <v>11.9</v>
      </c>
      <c r="R13" s="92">
        <f t="shared" si="0"/>
        <v>51.317881000000007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4" t="s">
        <v>360</v>
      </c>
      <c r="C15" s="265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39.417881000000008</v>
      </c>
      <c r="Q15" s="133">
        <f t="shared" ref="Q15:R15" si="1">Q13+Q14</f>
        <v>11.9</v>
      </c>
      <c r="R15" s="133">
        <f t="shared" si="1"/>
        <v>51.317881000000007</v>
      </c>
    </row>
    <row r="16" spans="1:18" ht="42" customHeight="1">
      <c r="B16" s="266" t="s">
        <v>457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workbookViewId="0">
      <selection activeCell="I21" sqref="I21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37.15" customHeight="1">
      <c r="B2" s="272" t="s">
        <v>441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27" customHeight="1">
      <c r="B5" s="273" t="s">
        <v>269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36" customHeight="1">
      <c r="B6" s="274" t="s">
        <v>271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v>0</v>
      </c>
      <c r="I8" s="9">
        <f>G8*H8/12</f>
        <v>0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0</v>
      </c>
      <c r="Q8" s="8">
        <f>ROUND(P8*30.2/100,2)</f>
        <v>0</v>
      </c>
      <c r="R8" s="8">
        <f>P8+Q8</f>
        <v>0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0</v>
      </c>
      <c r="Q9" s="19">
        <f>Q8</f>
        <v>0</v>
      </c>
      <c r="R9" s="19">
        <f>R8</f>
        <v>0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8" t="s">
        <v>272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326.10000000000002</v>
      </c>
      <c r="I15" s="9">
        <f>G15*H15/12</f>
        <v>0.11413500000000003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41.388775050000007</v>
      </c>
      <c r="Q15" s="8">
        <f>ROUND(P15*30.2/100,2)</f>
        <v>12.5</v>
      </c>
      <c r="R15" s="8">
        <f>P15+Q15</f>
        <v>53.888775050000007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41.388775050000007</v>
      </c>
      <c r="Q16" s="19">
        <f>Q15</f>
        <v>12.5</v>
      </c>
      <c r="R16" s="19">
        <f>R15</f>
        <v>53.888775050000007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>
        <v>326.10000000000002</v>
      </c>
      <c r="I21" s="9">
        <f>G21*H21/12</f>
        <v>0.11413500000000003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41.388775050000007</v>
      </c>
      <c r="Q21" s="8">
        <f>ROUND(P21*30.2/100,2)</f>
        <v>12.5</v>
      </c>
      <c r="R21" s="8">
        <f>P21+Q21</f>
        <v>53.888775050000007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41.388775050000007</v>
      </c>
      <c r="Q22" s="19">
        <f>Q21</f>
        <v>12.5</v>
      </c>
      <c r="R22" s="19">
        <f>R21</f>
        <v>53.888775050000007</v>
      </c>
    </row>
    <row r="23" spans="1:18" ht="30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82.777550100000013</v>
      </c>
      <c r="Q24" s="92">
        <f t="shared" ref="Q24:R24" si="0">Q9+Q16+Q22</f>
        <v>25</v>
      </c>
      <c r="R24" s="92">
        <f t="shared" si="0"/>
        <v>107.77755010000001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4" t="s">
        <v>360</v>
      </c>
      <c r="C26" s="26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82.777550100000013</v>
      </c>
      <c r="Q26" s="133">
        <f t="shared" ref="Q26:R26" si="1">Q24+Q25</f>
        <v>25</v>
      </c>
      <c r="R26" s="133">
        <f t="shared" si="1"/>
        <v>107.77755010000001</v>
      </c>
    </row>
    <row r="27" spans="1:18" s="22" customFormat="1" ht="44.25" customHeight="1">
      <c r="B27" s="266" t="s">
        <v>458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24" workbookViewId="0">
      <selection activeCell="R29" sqref="R29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9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8</v>
      </c>
      <c r="I8" s="9">
        <f>G8*H8/12</f>
        <v>0.39999999999999997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145.05199999999999</v>
      </c>
      <c r="Q8" s="8">
        <f>ROUND(P8*30.2/100,2)</f>
        <v>43.81</v>
      </c>
      <c r="R8" s="8">
        <f>P8+Q8</f>
        <v>188.86199999999999</v>
      </c>
      <c r="T8" s="28">
        <v>8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145.05199999999999</v>
      </c>
      <c r="Q9" s="19">
        <f>Q8</f>
        <v>43.81</v>
      </c>
      <c r="R9" s="19">
        <f>R8</f>
        <v>188.86199999999999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377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373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2</v>
      </c>
      <c r="I14" s="9">
        <f>G14*H14</f>
        <v>2.4000000000000004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870.31200000000013</v>
      </c>
      <c r="Q14" s="8">
        <f>ROUND(P14*30.2/100,2)</f>
        <v>262.83</v>
      </c>
      <c r="R14" s="8">
        <f>P14+Q14</f>
        <v>1133.1420000000001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870.31200000000013</v>
      </c>
      <c r="Q15" s="19">
        <f>Q14</f>
        <v>262.83</v>
      </c>
      <c r="R15" s="19">
        <f>R14</f>
        <v>1133.1420000000001</v>
      </c>
    </row>
    <row r="16" spans="1:20" ht="15"/>
    <row r="17" spans="1:20" ht="27" customHeight="1">
      <c r="B17" s="273" t="s">
        <v>378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0" ht="42.75" customHeight="1">
      <c r="B18" s="274" t="s">
        <v>379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4</v>
      </c>
      <c r="I20" s="9">
        <f>G20*H20</f>
        <v>2.88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1044.3743999999999</v>
      </c>
      <c r="Q20" s="8">
        <f>ROUND(P20*30.2/100,2)</f>
        <v>315.39999999999998</v>
      </c>
      <c r="R20" s="8">
        <f>P20+Q20</f>
        <v>1359.7743999999998</v>
      </c>
      <c r="T20" s="194">
        <v>4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1044.3743999999999</v>
      </c>
      <c r="Q21" s="19">
        <f>Q20</f>
        <v>315.39999999999998</v>
      </c>
      <c r="R21" s="19">
        <f>R20</f>
        <v>1359.7743999999998</v>
      </c>
    </row>
    <row r="23" spans="1:20" ht="27" customHeight="1">
      <c r="B23" s="273" t="s">
        <v>382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20" ht="42.75" customHeight="1">
      <c r="B24" s="274" t="s">
        <v>383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4</v>
      </c>
      <c r="I26" s="9">
        <f>G26*H26</f>
        <v>1.04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377.1352</v>
      </c>
      <c r="Q26" s="8">
        <f>ROUND(P26*30.2/100,2)</f>
        <v>113.89</v>
      </c>
      <c r="R26" s="8">
        <f>P26+Q26</f>
        <v>491.02519999999998</v>
      </c>
      <c r="T26" s="194">
        <v>4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377.1352</v>
      </c>
      <c r="Q27" s="19">
        <f>Q26</f>
        <v>113.89</v>
      </c>
      <c r="R27" s="19">
        <f>R26</f>
        <v>491.02519999999998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2436.8736000000004</v>
      </c>
      <c r="Q29" s="92">
        <f t="shared" ref="Q29:R29" si="0">Q9+Q15+Q21+Q27</f>
        <v>735.93</v>
      </c>
      <c r="R29" s="92">
        <f t="shared" si="0"/>
        <v>3172.8036000000002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0</v>
      </c>
    </row>
    <row r="31" spans="1:20" s="40" customFormat="1" ht="24" customHeight="1">
      <c r="A31" s="108"/>
      <c r="B31" s="264" t="s">
        <v>360</v>
      </c>
      <c r="C31" s="265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2436.8736000000004</v>
      </c>
      <c r="Q31" s="133">
        <f t="shared" ref="Q31:R31" si="1">Q29+Q30</f>
        <v>735.93</v>
      </c>
      <c r="R31" s="133">
        <f t="shared" si="1"/>
        <v>3172.8036000000002</v>
      </c>
    </row>
    <row r="32" spans="1:20" ht="44.25" customHeight="1">
      <c r="B32" s="266" t="s">
        <v>459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opLeftCell="A15" zoomScale="90" zoomScaleNormal="90" workbookViewId="0">
      <selection activeCell="I8" sqref="I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443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3.75" customHeight="1">
      <c r="B3" s="272" t="str">
        <f>'1.1.1. Осмотр несущ.констр.'!B3:R3</f>
        <v>с.Чечеул, ул.Гагарина д.3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2.5" customHeight="1">
      <c r="B4" s="272" t="s">
        <v>451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324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8</v>
      </c>
      <c r="I8" s="9">
        <f>G8*H8/12</f>
        <v>0.39999999999999997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145.05199999999999</v>
      </c>
      <c r="Q8" s="8">
        <f>ROUND(P8*30.2/100,2)</f>
        <v>43.81</v>
      </c>
      <c r="R8" s="8">
        <f>P8+Q8</f>
        <v>188.86199999999999</v>
      </c>
      <c r="T8" s="28">
        <v>8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145.05199999999999</v>
      </c>
      <c r="Q9" s="19">
        <f>Q8</f>
        <v>43.81</v>
      </c>
      <c r="R9" s="19">
        <f>R8</f>
        <v>188.86199999999999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326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327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326.10000000000002</v>
      </c>
      <c r="I14" s="9">
        <f>G14*H14/12</f>
        <v>0.11413500000000003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41.388775050000007</v>
      </c>
      <c r="Q14" s="8">
        <f>ROUND(P14*30.2/100,2)</f>
        <v>12.5</v>
      </c>
      <c r="R14" s="8">
        <f>P14+Q14</f>
        <v>53.888775050000007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41.388775050000007</v>
      </c>
      <c r="Q15" s="19">
        <f>Q14</f>
        <v>12.5</v>
      </c>
      <c r="R15" s="19">
        <f>R14</f>
        <v>53.888775050000007</v>
      </c>
    </row>
    <row r="16" spans="1:20" ht="15"/>
    <row r="17" spans="1:21" ht="27" customHeight="1">
      <c r="B17" s="273" t="s">
        <v>329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1" ht="42.75" customHeight="1">
      <c r="B18" s="274" t="s">
        <v>330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0</v>
      </c>
      <c r="I20" s="9">
        <f>G20*H20/12</f>
        <v>0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186.44077505000001</v>
      </c>
      <c r="Q23" s="92">
        <f t="shared" ref="Q23:R23" si="0">Q9+Q15+Q21</f>
        <v>56.31</v>
      </c>
      <c r="R23" s="92">
        <f t="shared" si="0"/>
        <v>242.75077505000002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1315.63</v>
      </c>
    </row>
    <row r="25" spans="1:21" ht="36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186.44077505000001</v>
      </c>
      <c r="Q25" s="133">
        <f t="shared" ref="Q25:R25" si="1">Q23+Q24</f>
        <v>56.31</v>
      </c>
      <c r="R25" s="133">
        <f t="shared" si="1"/>
        <v>1558.38077505</v>
      </c>
    </row>
    <row r="26" spans="1:21" ht="38.25" customHeight="1">
      <c r="B26" s="266" t="s">
        <v>460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2026-08-24T01:42:23Z</dcterms:modified>
</cp:coreProperties>
</file>