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Q11" i="13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R14" l="1"/>
  <c r="H25" i="13" s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B3" i="15"/>
  <c r="H10" i="20"/>
  <c r="B3"/>
  <c r="B3" i="17"/>
  <c r="H14" i="18"/>
  <c r="D18" i="8" l="1"/>
  <c r="D15" i="26"/>
  <c r="H15" s="1"/>
  <c r="I15" s="1"/>
  <c r="D15" i="9"/>
  <c r="D15" i="10"/>
  <c r="D18" i="3"/>
  <c r="B3" i="18" l="1"/>
  <c r="H33" i="14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G9" i="9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l="1"/>
  <c r="N77" s="1"/>
  <c r="R36" i="12"/>
  <c r="P79" i="13"/>
  <c r="N79"/>
  <c r="P78"/>
  <c r="N78"/>
  <c r="P77"/>
  <c r="N86"/>
  <c r="N83"/>
  <c r="P83"/>
  <c r="R38" i="12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<sst xmlns="http://schemas.openxmlformats.org/spreadsheetml/2006/main" count="1451" uniqueCount="471">
  <si>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</si>
  <si>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</si>
  <si>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</si>
  <si>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</si>
  <si>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</si>
  <si>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</si>
  <si>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</si>
  <si>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</si>
  <si>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</si>
  <si>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</si>
  <si>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</si>
  <si>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</si>
  <si>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</si>
  <si>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</si>
  <si>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</si>
  <si>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</si>
  <si>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</si>
  <si>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</si>
  <si>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</si>
  <si>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</si>
  <si>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</si>
  <si>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</si>
  <si>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</si>
  <si>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</si>
  <si>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</si>
  <si>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</si>
  <si>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</si>
  <si>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</si>
  <si>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</si>
  <si>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</si>
  <si>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</si>
  <si>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</si>
  <si>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</si>
  <si>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</si>
  <si>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</si>
  <si>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</si>
  <si>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</si>
  <si>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</si>
  <si>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</si>
  <si>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</si>
  <si>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</si>
  <si>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</si>
  <si>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</si>
  <si>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</si>
  <si>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</si>
  <si>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</si>
  <si>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</si>
  <si>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</si>
  <si>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</si>
  <si>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</si>
  <si>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</si>
  <si>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</si>
  <si>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</si>
  <si>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</si>
  <si>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</si>
  <si>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</si>
  <si>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</si>
  <si>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</si>
  <si>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</si>
  <si>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</si>
  <si>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</si>
  <si>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</si>
  <si>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</si>
  <si>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</si>
  <si>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</si>
  <si>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</si>
  <si>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</si>
  <si>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</si>
  <si>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</si>
  <si>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</si>
  <si>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</si>
  <si>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</si>
  <si>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</si>
  <si>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</si>
  <si>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</si>
  <si>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</si>
  <si>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</si>
  <si>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</si>
  <si>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</si>
  <si>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</si>
  <si>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</si>
  <si>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</si>
  <si>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</si>
  <si>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</si>
  <si>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</si>
  <si>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</si>
  <si>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</si>
  <si>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</si>
  <si>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</si>
  <si>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</si>
  <si>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</si>
  <si>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</si>
  <si>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</si>
  <si>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</si>
  <si>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</si>
  <si>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</si>
  <si>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</si>
  <si>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</si>
  <si>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</si>
  <si>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</si>
  <si>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</si>
  <si>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</si>
  <si>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</si>
  <si>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</si>
  <si>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</si>
  <si>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</si>
  <si>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</si>
  <si>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</si>
  <si>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</si>
  <si>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</si>
  <si>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</si>
  <si>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</si>
  <si>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</si>
  <si>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</si>
  <si>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</si>
  <si>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</si>
  <si>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</si>
  <si>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</si>
  <si>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</si>
  <si>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</si>
  <si>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</si>
  <si>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</si>
  <si>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</si>
  <si>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</si>
  <si>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</si>
  <si>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</si>
  <si>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</si>
  <si>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</si>
  <si>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</si>
  <si>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</si>
  <si>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</si>
  <si>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</si>
  <si>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</si>
  <si>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</si>
  <si>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</si>
  <si>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</si>
  <si>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</si>
  <si>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</si>
  <si>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</si>
  <si>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</si>
  <si>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</si>
  <si>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</si>
  <si>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</si>
  <si>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</si>
  <si>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</si>
  <si>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</si>
  <si>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</si>
  <si>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</si>
  <si>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</si>
  <si>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</si>
  <si>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</si>
  <si>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</si>
  <si>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</si>
  <si>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</si>
  <si>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</si>
  <si>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</si>
  <si>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</si>
  <si>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</si>
  <si>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</si>
  <si>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</si>
  <si>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</si>
  <si>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</si>
  <si>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</si>
  <si>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</si>
  <si>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</si>
  <si>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</si>
  <si>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</si>
  <si>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</si>
  <si>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</si>
  <si>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</si>
  <si>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</si>
  <si>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</si>
  <si>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</si>
  <si>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</si>
  <si>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</si>
  <si>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</si>
  <si>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</si>
  <si>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</si>
  <si>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</si>
  <si>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</si>
  <si>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</si>
  <si>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</si>
  <si>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</si>
  <si>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</si>
  <si>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</si>
  <si>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</si>
  <si>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</si>
  <si>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</si>
  <si>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</si>
  <si>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</si>
  <si>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</si>
  <si>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</si>
  <si>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</si>
  <si>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</si>
  <si>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</si>
  <si>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</si>
  <si>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</si>
  <si>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</si>
  <si>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</si>
  <si>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</si>
  <si>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</si>
  <si>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</si>
  <si>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</si>
  <si>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</si>
  <si>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</si>
  <si>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</si>
  <si>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</si>
  <si>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</si>
  <si>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</si>
  <si>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</si>
  <si>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</si>
  <si>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</si>
  <si>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</si>
  <si>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</si>
  <si>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</si>
  <si>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</si>
  <si>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</si>
  <si>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</si>
  <si>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</si>
  <si>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</si>
  <si>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</si>
  <si>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</si>
  <si>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</si>
  <si>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</si>
  <si>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</si>
  <si>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</si>
  <si>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</si>
  <si>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</si>
  <si>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</si>
  <si>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</si>
  <si>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</si>
  <si>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</si>
  <si>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</si>
  <si>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</si>
  <si>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</si>
  <si>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</si>
  <si>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</si>
  <si>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</si>
  <si>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</si>
  <si>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</si>
  <si>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</si>
  <si>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</si>
  <si>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</si>
  <si>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</si>
  <si>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</si>
  <si>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</si>
  <si>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</si>
  <si>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</si>
  <si>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</si>
  <si>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</si>
  <si>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</si>
  <si>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</si>
  <si>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</si>
  <si>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</si>
  <si>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</si>
  <si>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</si>
  <si>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</si>
  <si>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</si>
  <si>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</si>
  <si>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</si>
  <si>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</si>
  <si>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</si>
  <si>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</si>
  <si>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</si>
  <si>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</si>
  <si>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</si>
  <si>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</si>
  <si>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</si>
  <si>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</si>
  <si>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</si>
  <si>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</si>
  <si>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</si>
  <si>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</si>
  <si>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</si>
  <si>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</si>
  <si>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</si>
  <si>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</si>
  <si>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</si>
  <si>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</si>
  <si>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</si>
  <si>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</si>
  <si>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</si>
  <si>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</si>
  <si>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</si>
  <si>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</si>
  <si>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</si>
  <si>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</si>
  <si>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</si>
  <si>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</si>
  <si>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</si>
  <si>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</si>
  <si>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</si>
  <si>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</si>
  <si>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</si>
  <si>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</si>
  <si>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</si>
  <si>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</si>
  <si>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</si>
  <si>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</si>
  <si>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</si>
  <si>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</si>
  <si>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</si>
  <si>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</si>
  <si>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</si>
  <si>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</si>
  <si>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</si>
  <si>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</si>
  <si>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</si>
  <si>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</si>
  <si>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</si>
  <si>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</si>
  <si>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</si>
  <si>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</si>
  <si>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</si>
  <si>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</si>
  <si>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</si>
  <si>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</si>
  <si>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</si>
  <si>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</si>
  <si>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</si>
  <si>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</si>
  <si>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</si>
  <si>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</si>
  <si>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</si>
  <si>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</si>
  <si>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</si>
  <si>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</si>
  <si>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</si>
  <si>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</si>
  <si>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</si>
  <si>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</si>
  <si>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</si>
  <si>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</si>
  <si>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</si>
  <si>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</si>
  <si>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</si>
  <si>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</si>
  <si>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</si>
  <si>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</si>
  <si>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</si>
  <si>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</si>
  <si>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</si>
  <si>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</si>
  <si>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</si>
  <si>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</si>
  <si>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</si>
  <si>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</si>
  <si>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</si>
  <si>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</si>
  <si>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</si>
  <si>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</si>
  <si>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</si>
  <si>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</si>
  <si>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</si>
  <si>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</si>
  <si>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</si>
  <si>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</si>
  <si>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</si>
  <si>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</si>
  <si>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</si>
  <si>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</si>
  <si>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</si>
  <si>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</si>
  <si>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</si>
  <si>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</si>
  <si>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</si>
  <si>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</si>
  <si>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</si>
  <si>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</si>
  <si>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</si>
  <si>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</si>
  <si>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</si>
  <si>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</si>
  <si>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</si>
  <si>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</si>
  <si>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</si>
  <si>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</si>
  <si>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</si>
  <si>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</si>
  <si>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</si>
  <si>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</si>
  <si>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</si>
  <si>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</si>
  <si>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</si>
  <si>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</si>
  <si>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</si>
  <si>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</si>
  <si>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</si>
  <si>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</si>
  <si>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</si>
  <si>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</si>
  <si>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</si>
  <si>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</si>
  <si>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</si>
  <si>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</si>
  <si>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</si>
  <si>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</si>
  <si>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</si>
  <si>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</si>
  <si>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</si>
  <si>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</si>
  <si>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</si>
  <si>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</si>
  <si>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</si>
  <si>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</si>
  <si>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</si>
  <si>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</si>
  <si>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</si>
  <si>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</si>
  <si>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</si>
  <si>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</si>
  <si>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</si>
  <si>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</si>
  <si>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</si>
  <si>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</si>
  <si>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</si>
  <si>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</si>
  <si>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</si>
  <si>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</si>
  <si>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</si>
  <si>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</si>
  <si>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</si>
  <si>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</si>
  <si>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</si>
  <si>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</si>
  <si>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</si>
  <si>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</si>
  <si>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</si>
  <si>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</si>
  <si>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</si>
  <si>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</si>
  <si>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</si>
  <si>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</si>
  <si>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</si>
  <si>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</si>
  <si>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</si>
  <si>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</si>
  <si>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</si>
  <si>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</si>
  <si>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</si>
  <si>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</si>
  <si>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</si>
  <si>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</si>
  <si>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</si>
  <si>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</si>
  <si>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</si>
  <si>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</si>
  <si>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</si>
  <si>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Размер платы на регулируемый период с 01.09.2026г. по 31.08.2075г.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</si>
  <si>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</si>
  <si>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</si>
  <si>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</si>
  <si>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</si>
  <si>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</si>
  <si>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</si>
  <si>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</si>
  <si>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</si>
  <si>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</si>
  <si>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</si>
  <si>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</si>
  <si>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</si>
  <si>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</si>
  <si>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</si>
  <si>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</si>
  <si>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</si>
  <si>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</si>
  <si>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</si>
  <si>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</si>
  <si>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</si>
  <si>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ул.Новая, д.6а</t>
  </si>
  <si>
    <t>с.Чечеул, ул.Новая, д.6а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</si>
</sst>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topLeftCell="A132" zoomScale="80" zoomScaleNormal="80" workbookViewId="0">
      <selection activeCell="Q138" sqref="Q138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25" t="s">
        <v>435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17" ht="64.5" customHeight="1">
      <c r="B2" s="225" t="s">
        <v>469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3" spans="1:17" ht="18.75">
      <c r="B3" s="225" t="s">
        <v>446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</row>
    <row r="4" spans="1:17" s="111" customFormat="1" ht="42" customHeight="1">
      <c r="B4" s="237" t="s">
        <v>432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119"/>
    </row>
    <row r="5" spans="1:17" s="111" customFormat="1" ht="36.75" customHeight="1">
      <c r="A5" s="29" t="s">
        <v>1</v>
      </c>
      <c r="B5" s="226" t="s">
        <v>335</v>
      </c>
      <c r="C5" s="227"/>
      <c r="D5" s="228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8" t="s">
        <v>336</v>
      </c>
      <c r="P5" s="239"/>
      <c r="Q5" s="119"/>
    </row>
    <row r="6" spans="1:17" s="51" customFormat="1" ht="24.75" customHeight="1">
      <c r="A6" s="115" t="s">
        <v>8</v>
      </c>
      <c r="B6" s="229" t="s">
        <v>337</v>
      </c>
      <c r="C6" s="230"/>
      <c r="D6" s="231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33">
        <v>640</v>
      </c>
      <c r="P6" s="234"/>
      <c r="Q6" s="119"/>
    </row>
    <row r="7" spans="1:17" s="51" customFormat="1" ht="28.5" customHeight="1">
      <c r="A7" s="115" t="s">
        <v>10</v>
      </c>
      <c r="B7" s="229" t="s">
        <v>425</v>
      </c>
      <c r="C7" s="230"/>
      <c r="D7" s="231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5">
        <v>46266</v>
      </c>
      <c r="P7" s="236"/>
      <c r="Q7" s="119"/>
    </row>
    <row r="8" spans="1:17" s="51" customFormat="1" ht="28.5" customHeight="1">
      <c r="A8" s="115" t="s">
        <v>11</v>
      </c>
      <c r="B8" s="229" t="s">
        <v>426</v>
      </c>
      <c r="C8" s="230"/>
      <c r="D8" s="231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5">
        <v>46630</v>
      </c>
      <c r="P8" s="236"/>
      <c r="Q8" s="119"/>
    </row>
    <row r="9" spans="1:17" s="51" customFormat="1" ht="29.25" customHeight="1">
      <c r="A9" s="115" t="s">
        <v>13</v>
      </c>
      <c r="B9" s="229" t="s">
        <v>447</v>
      </c>
      <c r="C9" s="230"/>
      <c r="D9" s="231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48">
        <v>31.2</v>
      </c>
      <c r="P9" s="249"/>
      <c r="Q9" s="119"/>
    </row>
    <row r="10" spans="1:17" s="51" customFormat="1" ht="35.25" customHeight="1">
      <c r="A10" s="115" t="s">
        <v>16</v>
      </c>
      <c r="B10" s="240" t="s">
        <v>448</v>
      </c>
      <c r="C10" s="241"/>
      <c r="D10" s="242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6">
        <v>35.36</v>
      </c>
      <c r="P10" s="247"/>
      <c r="Q10" s="119">
        <v>35.36</v>
      </c>
    </row>
    <row r="11" spans="1:17" s="51" customFormat="1" ht="38.25" customHeight="1">
      <c r="A11" s="115" t="s">
        <v>17</v>
      </c>
      <c r="B11" s="243" t="s">
        <v>449</v>
      </c>
      <c r="C11" s="244"/>
      <c r="D11" s="245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8">
        <v>113.33</v>
      </c>
      <c r="P11" s="249"/>
      <c r="Q11" s="119">
        <f>O10-O9</f>
        <v>4.16</v>
      </c>
    </row>
    <row r="12" spans="1:17" s="51" customFormat="1" ht="20.25" hidden="1" customHeight="1">
      <c r="A12" s="115" t="s">
        <v>20</v>
      </c>
      <c r="B12" s="229"/>
      <c r="C12" s="230"/>
      <c r="D12" s="231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50"/>
      <c r="P12" s="236"/>
      <c r="Q12" s="119"/>
    </row>
    <row r="13" spans="1:17" s="51" customFormat="1" ht="19.5" hidden="1" customHeight="1">
      <c r="A13" s="115" t="s">
        <v>26</v>
      </c>
      <c r="B13" s="229"/>
      <c r="C13" s="230"/>
      <c r="D13" s="231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8"/>
      <c r="P13" s="249"/>
      <c r="Q13" s="119"/>
    </row>
    <row r="14" spans="1:17" s="51" customFormat="1" ht="19.5" hidden="1" customHeight="1">
      <c r="A14" s="115" t="s">
        <v>353</v>
      </c>
      <c r="B14" s="229"/>
      <c r="C14" s="230"/>
      <c r="D14" s="231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8"/>
      <c r="P14" s="249"/>
      <c r="Q14" s="119"/>
    </row>
    <row r="15" spans="1:17" s="51" customFormat="1" ht="20.25" hidden="1" customHeight="1">
      <c r="A15" s="115" t="s">
        <v>354</v>
      </c>
      <c r="B15" s="229"/>
      <c r="C15" s="230"/>
      <c r="D15" s="231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51"/>
      <c r="P15" s="252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32" t="s">
        <v>433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</row>
    <row r="18" spans="1:17" s="4" customFormat="1" ht="62.25" customHeight="1">
      <c r="A18" s="223" t="s">
        <v>69</v>
      </c>
      <c r="B18" s="256" t="s">
        <v>70</v>
      </c>
      <c r="C18" s="254" t="s">
        <v>80</v>
      </c>
      <c r="D18" s="254" t="s">
        <v>81</v>
      </c>
      <c r="E18" s="221" t="s">
        <v>71</v>
      </c>
      <c r="F18" s="217" t="s">
        <v>72</v>
      </c>
      <c r="G18" s="217" t="s">
        <v>399</v>
      </c>
      <c r="H18" s="217" t="s">
        <v>73</v>
      </c>
      <c r="I18" s="217" t="s">
        <v>74</v>
      </c>
      <c r="J18" s="217" t="s">
        <v>75</v>
      </c>
      <c r="K18" s="217" t="s">
        <v>76</v>
      </c>
      <c r="L18" s="217" t="s">
        <v>77</v>
      </c>
      <c r="M18" s="217" t="s">
        <v>398</v>
      </c>
      <c r="N18" s="258" t="s">
        <v>332</v>
      </c>
      <c r="O18" s="212"/>
      <c r="P18" s="254" t="s">
        <v>434</v>
      </c>
      <c r="Q18" s="119"/>
    </row>
    <row r="19" spans="1:17" s="4" customFormat="1" ht="31.5" customHeight="1">
      <c r="A19" s="224"/>
      <c r="B19" s="257"/>
      <c r="C19" s="255"/>
      <c r="D19" s="255"/>
      <c r="E19" s="222"/>
      <c r="F19" s="218"/>
      <c r="G19" s="218"/>
      <c r="H19" s="218"/>
      <c r="I19" s="218"/>
      <c r="J19" s="218"/>
      <c r="K19" s="218"/>
      <c r="L19" s="218"/>
      <c r="M19" s="218"/>
      <c r="N19" s="259"/>
      <c r="O19" s="2" t="s">
        <v>78</v>
      </c>
      <c r="P19" s="255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178874.60959255754</v>
      </c>
      <c r="F20" s="164">
        <f t="shared" si="0"/>
        <v>54020.122155102697</v>
      </c>
      <c r="G20" s="164">
        <f t="shared" si="0"/>
        <v>14333.381868388678</v>
      </c>
      <c r="H20" s="164">
        <f t="shared" si="0"/>
        <v>8176.8562876249998</v>
      </c>
      <c r="I20" s="164">
        <f t="shared" si="0"/>
        <v>9568.2128152166515</v>
      </c>
      <c r="J20" s="164">
        <f t="shared" si="0"/>
        <v>0</v>
      </c>
      <c r="K20" s="164">
        <f t="shared" si="0"/>
        <v>7469.210521279254</v>
      </c>
      <c r="L20" s="164">
        <f t="shared" si="0"/>
        <v>0</v>
      </c>
      <c r="M20" s="164">
        <f t="shared" si="0"/>
        <v>272442.3932401698</v>
      </c>
      <c r="N20" s="164">
        <f t="shared" si="0"/>
        <v>268886.16324016982</v>
      </c>
      <c r="O20" s="164">
        <f t="shared" si="0"/>
        <v>268886.16324016982</v>
      </c>
      <c r="P20" s="164">
        <f t="shared" si="0"/>
        <v>35.011219171897103</v>
      </c>
      <c r="Q20" s="120">
        <f>O20/O6/12</f>
        <v>35.01121917189711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2235.3732631666662</v>
      </c>
      <c r="F21" s="173">
        <f t="shared" ref="F21:M21" si="1">F22+F32+F43+F50+F54</f>
        <v>675.06999999999994</v>
      </c>
      <c r="G21" s="173">
        <f t="shared" si="1"/>
        <v>75.540800000000004</v>
      </c>
      <c r="H21" s="173">
        <f t="shared" si="1"/>
        <v>250.39628762500001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3236.3803507916664</v>
      </c>
      <c r="N21" s="173">
        <f>N22+N32+N43+N50+N54</f>
        <v>3236.3803507916664</v>
      </c>
      <c r="O21" s="173">
        <f>O22+O32+O43+O50+O54</f>
        <v>3236.3803507916664</v>
      </c>
      <c r="P21" s="173">
        <f>P22+P32+P43+P50+P54</f>
        <v>0.4214036915093316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1432.7692614999999</v>
      </c>
      <c r="F22" s="180">
        <f t="shared" ref="F22:M22" si="2">SUM(F23:F31)</f>
        <v>432.69</v>
      </c>
      <c r="G22" s="180">
        <f t="shared" si="2"/>
        <v>0</v>
      </c>
      <c r="H22" s="180">
        <f t="shared" si="2"/>
        <v>250.39628762500001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2115.8555491249999</v>
      </c>
      <c r="N22" s="180">
        <f>SUM(N23:N31)</f>
        <v>2115.8555491249999</v>
      </c>
      <c r="O22" s="180">
        <f>SUM(O23:O31)</f>
        <v>2115.8555491249999</v>
      </c>
      <c r="P22" s="180">
        <f>SUM(P23:P31)</f>
        <v>0.27550202462565104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150.66067733333333</v>
      </c>
      <c r="F23" s="14">
        <f>'1.1.1. Осмотр несущ.констр.'!Q37</f>
        <v>45.489999999999995</v>
      </c>
      <c r="G23" s="12"/>
      <c r="H23" s="12"/>
      <c r="I23" s="14"/>
      <c r="J23" s="60"/>
      <c r="K23" s="23"/>
      <c r="L23" s="23"/>
      <c r="M23" s="24">
        <f t="shared" ref="M23:M31" si="3">SUM(E23:L23)</f>
        <v>196.15067733333331</v>
      </c>
      <c r="N23" s="23">
        <f>O23</f>
        <v>196.15067733333331</v>
      </c>
      <c r="O23" s="61">
        <f>'1.1.1. Осмотр несущ.констр.'!R37</f>
        <v>196.15067733333331</v>
      </c>
      <c r="P23" s="61">
        <f>O23/O6/12</f>
        <v>2.5540452777777774E-2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0</v>
      </c>
      <c r="F24" s="14">
        <f>'1.1.1. Осмотр несущ.констр.'!Q42</f>
        <v>0</v>
      </c>
      <c r="G24" s="12"/>
      <c r="H24" s="12"/>
      <c r="I24" s="14"/>
      <c r="J24" s="60"/>
      <c r="K24" s="23"/>
      <c r="L24" s="23"/>
      <c r="M24" s="24">
        <f t="shared" si="3"/>
        <v>0</v>
      </c>
      <c r="N24" s="110">
        <f t="shared" ref="N24:N26" si="4">O24</f>
        <v>0</v>
      </c>
      <c r="O24" s="61">
        <f>'1.1.1. Осмотр несущ.констр.'!R42</f>
        <v>0</v>
      </c>
      <c r="P24" s="61">
        <f>O24/O6/12</f>
        <v>0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1282.1085841666666</v>
      </c>
      <c r="F25" s="14">
        <f>'1.1.1. Очистка подвала'!Q11</f>
        <v>387.2</v>
      </c>
      <c r="G25" s="12"/>
      <c r="H25" s="14">
        <f>'1.1.1. Очистка подвала'!R14</f>
        <v>250.39628762500001</v>
      </c>
      <c r="I25" s="14"/>
      <c r="J25" s="60"/>
      <c r="K25" s="23"/>
      <c r="L25" s="23"/>
      <c r="M25" s="24">
        <f t="shared" si="3"/>
        <v>1919.7048717916666</v>
      </c>
      <c r="N25" s="110">
        <f>'1.1.1. Очистка подвала'!R15</f>
        <v>1919.7048717916666</v>
      </c>
      <c r="O25" s="61">
        <f>N25</f>
        <v>1919.7048717916666</v>
      </c>
      <c r="P25" s="61">
        <f>O25/O6/12</f>
        <v>0.24996157184787327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0</v>
      </c>
      <c r="F26" s="14">
        <f>'1.1.1. Осмотр несущ.констр.'!Q48</f>
        <v>0</v>
      </c>
      <c r="G26" s="12"/>
      <c r="H26" s="12"/>
      <c r="I26" s="14"/>
      <c r="J26" s="60"/>
      <c r="K26" s="23"/>
      <c r="L26" s="23"/>
      <c r="M26" s="24">
        <f t="shared" si="3"/>
        <v>0</v>
      </c>
      <c r="N26" s="110">
        <f t="shared" si="4"/>
        <v>0</v>
      </c>
      <c r="O26" s="61">
        <f>'1.1.1. Осмотр несущ.констр.'!R48</f>
        <v>0</v>
      </c>
      <c r="P26" s="193">
        <f>O26/O6/12</f>
        <v>0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510.03909499999997</v>
      </c>
      <c r="F32" s="180">
        <f t="shared" ref="F32:M32" si="5">SUM(F33:F42)</f>
        <v>154.03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664.06909500000006</v>
      </c>
      <c r="N32" s="180">
        <f>SUM(N33:N42)</f>
        <v>664.06909500000006</v>
      </c>
      <c r="O32" s="180">
        <f>SUM(O33:O42)</f>
        <v>664.06909500000006</v>
      </c>
      <c r="P32" s="180">
        <f>SUM(P33:P42)</f>
        <v>8.6467330078125015E-2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306.02345700000001</v>
      </c>
      <c r="F34" s="14">
        <f>'1.1.2. Осмотр кровли'!Q9</f>
        <v>92.42</v>
      </c>
      <c r="G34" s="12"/>
      <c r="H34" s="12"/>
      <c r="I34" s="14"/>
      <c r="J34" s="12"/>
      <c r="K34" s="23"/>
      <c r="L34" s="23"/>
      <c r="M34" s="24">
        <f t="shared" ref="M34:M90" si="6">SUM(E34:L34)</f>
        <v>398.44345700000002</v>
      </c>
      <c r="N34" s="23">
        <f>O34</f>
        <v>398.44345700000002</v>
      </c>
      <c r="O34" s="14">
        <f>'1.1.2. Осмотр кровли'!R9</f>
        <v>398.44345700000002</v>
      </c>
      <c r="P34" s="14">
        <f>O34/O6/12</f>
        <v>5.1880658463541673E-2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204.015638</v>
      </c>
      <c r="F35" s="14">
        <f>'1.1.2. Осмотр кровли'!Q15</f>
        <v>61.61</v>
      </c>
      <c r="G35" s="12"/>
      <c r="H35" s="12"/>
      <c r="I35" s="14"/>
      <c r="J35" s="12"/>
      <c r="K35" s="23"/>
      <c r="L35" s="23"/>
      <c r="M35" s="24">
        <f t="shared" si="6"/>
        <v>265.62563799999998</v>
      </c>
      <c r="N35" s="110">
        <f>O35</f>
        <v>265.62563799999998</v>
      </c>
      <c r="O35" s="14">
        <f>'1.1.2. Осмотр кровли'!R15</f>
        <v>265.62563799999998</v>
      </c>
      <c r="P35" s="61">
        <f>O35/O6/12</f>
        <v>3.4586671614583335E-2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52.745600000000003</v>
      </c>
      <c r="F43" s="180">
        <f t="shared" ref="F43:M43" si="7">SUM(F44:F49)</f>
        <v>15.93</v>
      </c>
      <c r="G43" s="180">
        <f t="shared" si="7"/>
        <v>75.540800000000004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144.21640000000002</v>
      </c>
      <c r="N43" s="180">
        <f>SUM(N44:N49)</f>
        <v>144.21640000000002</v>
      </c>
      <c r="O43" s="180">
        <f>SUM(O44:O49)</f>
        <v>144.21640000000002</v>
      </c>
      <c r="P43" s="188">
        <f>SUM(P44:P49)</f>
        <v>1.8778177083333333E-2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52.745600000000003</v>
      </c>
      <c r="F44" s="14">
        <f>'1.1.3. Осмотр окон, дверей'!Q10</f>
        <v>15.93</v>
      </c>
      <c r="G44" s="12"/>
      <c r="H44" s="12"/>
      <c r="I44" s="14"/>
      <c r="J44" s="60"/>
      <c r="K44" s="23"/>
      <c r="L44" s="23"/>
      <c r="M44" s="24">
        <f t="shared" si="6"/>
        <v>68.675600000000003</v>
      </c>
      <c r="N44" s="23">
        <f>O44</f>
        <v>68.675600000000003</v>
      </c>
      <c r="O44" s="61">
        <f>'1.1.3. Осмотр окон, дверей'!R10</f>
        <v>68.675600000000003</v>
      </c>
      <c r="P44" s="61">
        <f>O44/O6/12</f>
        <v>8.9421354166666668E-3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75.540800000000004</v>
      </c>
      <c r="H48" s="12"/>
      <c r="I48" s="14"/>
      <c r="J48" s="60"/>
      <c r="K48" s="23"/>
      <c r="L48" s="23"/>
      <c r="M48" s="24">
        <f t="shared" si="6"/>
        <v>75.540800000000004</v>
      </c>
      <c r="N48" s="110">
        <f>O48</f>
        <v>75.540800000000004</v>
      </c>
      <c r="O48" s="14">
        <f>'1.1.3. Осмотр окон, дверей'!R16</f>
        <v>75.540800000000004</v>
      </c>
      <c r="P48" s="14">
        <f>O48/O6/12</f>
        <v>9.8360416666666683E-3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77.361066666666673</v>
      </c>
      <c r="F50" s="183">
        <f t="shared" ref="F50:M50" si="8">SUM(F51:F53)</f>
        <v>23.36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100.72106666666667</v>
      </c>
      <c r="N50" s="183">
        <f>SUM(N51:N53)</f>
        <v>100.72106666666667</v>
      </c>
      <c r="O50" s="183">
        <f>SUM(O51:O53)</f>
        <v>100.72106666666667</v>
      </c>
      <c r="P50" s="183">
        <f>SUM(P51:P53)</f>
        <v>1.3114722222222222E-2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77.361066666666673</v>
      </c>
      <c r="F51" s="14">
        <f>'1.1.4. Осмотр внут.отделки'!Q11</f>
        <v>23.36</v>
      </c>
      <c r="G51" s="12"/>
      <c r="H51" s="12"/>
      <c r="I51" s="14"/>
      <c r="J51" s="60"/>
      <c r="K51" s="23"/>
      <c r="L51" s="23"/>
      <c r="M51" s="24">
        <f t="shared" si="6"/>
        <v>100.72106666666667</v>
      </c>
      <c r="N51" s="23">
        <f>O51</f>
        <v>100.72106666666667</v>
      </c>
      <c r="O51" s="23">
        <f>'1.1.4. Осмотр внут.отделки'!R11</f>
        <v>100.72106666666667</v>
      </c>
      <c r="P51" s="23">
        <f>O51/O6/12</f>
        <v>1.3114722222222222E-2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162.45824000000005</v>
      </c>
      <c r="F54" s="180">
        <f t="shared" ref="F54:M54" si="9">SUM(F55:F57)</f>
        <v>49.06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211.51824000000005</v>
      </c>
      <c r="N54" s="180">
        <f>SUM(N55:N57)</f>
        <v>211.51824000000005</v>
      </c>
      <c r="O54" s="184">
        <f>SUM(O55:O57)</f>
        <v>211.51824000000005</v>
      </c>
      <c r="P54" s="184">
        <f>SUM(P55:P57)</f>
        <v>2.7541437500000005E-2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0</v>
      </c>
      <c r="F55" s="14">
        <f>'1.1.5. Вентиляция'!Q9</f>
        <v>0</v>
      </c>
      <c r="G55" s="12"/>
      <c r="H55" s="12"/>
      <c r="I55" s="14"/>
      <c r="J55" s="60"/>
      <c r="K55" s="23"/>
      <c r="L55" s="23"/>
      <c r="M55" s="24">
        <f>SUM(E55:L55)</f>
        <v>0</v>
      </c>
      <c r="N55" s="214">
        <f>O55</f>
        <v>211.51824000000005</v>
      </c>
      <c r="O55" s="214">
        <f>'1.1.5. Вентиляция'!R26</f>
        <v>211.51824000000005</v>
      </c>
      <c r="P55" s="214">
        <f>O55/O6/12</f>
        <v>2.7541437500000005E-2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81.229120000000023</v>
      </c>
      <c r="F56" s="14">
        <f>'1.1.5. Вентиляция'!Q16</f>
        <v>24.53</v>
      </c>
      <c r="G56" s="12"/>
      <c r="H56" s="12"/>
      <c r="I56" s="14"/>
      <c r="J56" s="60"/>
      <c r="K56" s="23"/>
      <c r="L56" s="23"/>
      <c r="M56" s="24">
        <f t="shared" ref="M56:M57" si="10">SUM(E56:L56)</f>
        <v>105.75912000000002</v>
      </c>
      <c r="N56" s="215"/>
      <c r="O56" s="215"/>
      <c r="P56" s="215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81.229120000000023</v>
      </c>
      <c r="F57" s="14">
        <f>'1.1.5. Вентиляция'!Q22</f>
        <v>24.53</v>
      </c>
      <c r="G57" s="12"/>
      <c r="H57" s="12"/>
      <c r="I57" s="14"/>
      <c r="J57" s="60"/>
      <c r="K57" s="23"/>
      <c r="L57" s="23"/>
      <c r="M57" s="24">
        <f t="shared" si="10"/>
        <v>105.75912000000002</v>
      </c>
      <c r="N57" s="216"/>
      <c r="O57" s="216"/>
      <c r="P57" s="216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38759.519417208918</v>
      </c>
      <c r="F58" s="173">
        <f t="shared" ref="F58:M58" si="11">F59+F68+F76+F92</f>
        <v>11705.37764762376</v>
      </c>
      <c r="G58" s="173">
        <f t="shared" si="11"/>
        <v>12476.35</v>
      </c>
      <c r="H58" s="173">
        <f t="shared" si="11"/>
        <v>7926.46</v>
      </c>
      <c r="I58" s="173">
        <f t="shared" si="11"/>
        <v>0</v>
      </c>
      <c r="J58" s="173">
        <f t="shared" si="11"/>
        <v>0</v>
      </c>
      <c r="K58" s="173">
        <f t="shared" si="11"/>
        <v>1389.7829615271125</v>
      </c>
      <c r="L58" s="173">
        <f t="shared" si="11"/>
        <v>0</v>
      </c>
      <c r="M58" s="173">
        <f t="shared" si="11"/>
        <v>72257.490026359781</v>
      </c>
      <c r="N58" s="174">
        <f>N59+N68+N76+N92</f>
        <v>68701.260026359785</v>
      </c>
      <c r="O58" s="173">
        <f>O59+O68+O76+O92</f>
        <v>68701.260026359785</v>
      </c>
      <c r="P58" s="173">
        <f>P59+P68+P76+P92</f>
        <v>8.9454765659322639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3379.7116000000001</v>
      </c>
      <c r="F59" s="180">
        <f t="shared" ref="F59:M59" si="12">SUM(F60:F67)</f>
        <v>1020.67</v>
      </c>
      <c r="G59" s="180">
        <f t="shared" si="12"/>
        <v>3556.23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7956.6116000000002</v>
      </c>
      <c r="N59" s="185">
        <f>SUM(N60:N67)</f>
        <v>4400.3815999999997</v>
      </c>
      <c r="O59" s="180">
        <f>SUM(O60:O67)</f>
        <v>4400.3815999999997</v>
      </c>
      <c r="P59" s="180">
        <f>SUM(P60:P66)</f>
        <v>0.57296635416666664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217.578</v>
      </c>
      <c r="F60" s="14">
        <f>'1.2.1. Осмотр ХВС'!Q9</f>
        <v>65.709999999999994</v>
      </c>
      <c r="G60" s="5">
        <f>'1.2.1. Осмотр ХВС'!R30</f>
        <v>3556.23</v>
      </c>
      <c r="H60" s="12"/>
      <c r="I60" s="14"/>
      <c r="J60" s="12"/>
      <c r="K60" s="23"/>
      <c r="L60" s="23"/>
      <c r="M60" s="24">
        <f t="shared" si="6"/>
        <v>3839.518</v>
      </c>
      <c r="N60" s="14">
        <f>O60</f>
        <v>283.28800000000001</v>
      </c>
      <c r="O60" s="14">
        <f>'1.2.1. Осмотр ХВС'!R9</f>
        <v>283.28800000000001</v>
      </c>
      <c r="P60" s="14">
        <f>O60/O6/12</f>
        <v>3.6886458333333337E-2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1740.6240000000003</v>
      </c>
      <c r="F61" s="14">
        <f>'1.2.1. Осмотр ХВС'!Q15</f>
        <v>525.66999999999996</v>
      </c>
      <c r="G61" s="5"/>
      <c r="H61" s="12"/>
      <c r="I61" s="14"/>
      <c r="J61" s="12"/>
      <c r="K61" s="23"/>
      <c r="L61" s="23"/>
      <c r="M61" s="24">
        <f t="shared" si="6"/>
        <v>2266.2940000000003</v>
      </c>
      <c r="N61" s="14">
        <f>O61</f>
        <v>2266.2940000000003</v>
      </c>
      <c r="O61" s="14">
        <f>'1.2.1. Осмотр ХВС'!R15</f>
        <v>2266.2940000000003</v>
      </c>
      <c r="P61" s="14">
        <f>O61/O6/12</f>
        <v>0.29509036458333338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1044.3743999999999</v>
      </c>
      <c r="F62" s="14">
        <f>'1.2.1. Осмотр ХВС'!Q21</f>
        <v>315.39999999999998</v>
      </c>
      <c r="G62" s="9"/>
      <c r="H62" s="12"/>
      <c r="I62" s="14"/>
      <c r="J62" s="12"/>
      <c r="K62" s="23"/>
      <c r="L62" s="23"/>
      <c r="M62" s="24">
        <f t="shared" si="6"/>
        <v>1359.7743999999998</v>
      </c>
      <c r="N62" s="14">
        <f t="shared" ref="N62:N63" si="13">O62</f>
        <v>1359.7743999999998</v>
      </c>
      <c r="O62" s="8">
        <f>'1.2.1. Осмотр ХВС'!R21</f>
        <v>1359.7743999999998</v>
      </c>
      <c r="P62" s="8">
        <f>O62/O6/12</f>
        <v>0.17705395833333329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377.1352</v>
      </c>
      <c r="F63" s="14">
        <f>'1.2.1. Осмотр ХВС'!Q27</f>
        <v>113.89</v>
      </c>
      <c r="G63" s="9"/>
      <c r="H63" s="12"/>
      <c r="I63" s="14"/>
      <c r="J63" s="12"/>
      <c r="K63" s="23"/>
      <c r="L63" s="23"/>
      <c r="M63" s="24">
        <f t="shared" si="6"/>
        <v>491.02519999999998</v>
      </c>
      <c r="N63" s="14">
        <f t="shared" si="13"/>
        <v>491.02519999999998</v>
      </c>
      <c r="O63" s="69">
        <f>'1.2.1. Осмотр ХВС'!R27</f>
        <v>491.02519999999998</v>
      </c>
      <c r="P63" s="69">
        <f>O63/O6/12</f>
        <v>6.3935572916666669E-2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298.80712000000005</v>
      </c>
      <c r="F68" s="180">
        <f t="shared" ref="F68:M68" si="14">SUM(F69:F75)</f>
        <v>90.24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389.04712000000006</v>
      </c>
      <c r="N68" s="185">
        <f>SUM(N69:N75)</f>
        <v>389.04712000000006</v>
      </c>
      <c r="O68" s="185">
        <f>SUM(O69:O75)</f>
        <v>389.04712000000006</v>
      </c>
      <c r="P68" s="185">
        <f>SUM(P69:P75)</f>
        <v>5.0657177083333338E-2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217.578</v>
      </c>
      <c r="F69" s="14">
        <f>'1.2.2. Осмотр ВО'!Q9</f>
        <v>65.709999999999994</v>
      </c>
      <c r="G69" s="12"/>
      <c r="H69" s="12"/>
      <c r="I69" s="14"/>
      <c r="J69" s="60"/>
      <c r="K69" s="23"/>
      <c r="L69" s="23"/>
      <c r="M69" s="24">
        <f t="shared" si="6"/>
        <v>283.28800000000001</v>
      </c>
      <c r="N69" s="23">
        <f>O69</f>
        <v>283.28800000000001</v>
      </c>
      <c r="O69" s="61">
        <f>'1.2.2. Осмотр ВО'!R9</f>
        <v>283.28800000000001</v>
      </c>
      <c r="P69" s="61">
        <f>O69/O6/12</f>
        <v>3.6886458333333337E-2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81.229120000000023</v>
      </c>
      <c r="F70" s="14">
        <f>'1.2.2. Осмотр ВО'!Q15</f>
        <v>24.53</v>
      </c>
      <c r="G70" s="12"/>
      <c r="H70" s="12"/>
      <c r="I70" s="14"/>
      <c r="J70" s="60"/>
      <c r="K70" s="23"/>
      <c r="L70" s="23"/>
      <c r="M70" s="24">
        <f t="shared" si="6"/>
        <v>105.75912000000002</v>
      </c>
      <c r="N70" s="110">
        <f>O70</f>
        <v>105.75912000000002</v>
      </c>
      <c r="O70" s="61">
        <f>'1.2.2. Осмотр ВО'!R15</f>
        <v>105.75912000000002</v>
      </c>
      <c r="P70" s="61">
        <f>O70/O6/12</f>
        <v>1.3770718750000003E-2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0</v>
      </c>
      <c r="F75" s="14">
        <f>'1.2.2. Осмотр ВО'!Q21</f>
        <v>0</v>
      </c>
      <c r="G75" s="12"/>
      <c r="H75" s="12"/>
      <c r="I75" s="14"/>
      <c r="J75" s="60"/>
      <c r="K75" s="23"/>
      <c r="L75" s="23"/>
      <c r="M75" s="24">
        <f t="shared" si="6"/>
        <v>0</v>
      </c>
      <c r="N75" s="14">
        <f>O75</f>
        <v>0</v>
      </c>
      <c r="O75" s="61">
        <f>'1.2.2. Осмотр ВО'!R21</f>
        <v>0</v>
      </c>
      <c r="P75" s="61">
        <f>O75/O6/12</f>
        <v>0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28622.301466666668</v>
      </c>
      <c r="F76" s="180">
        <f t="shared" ref="F76:P76" si="15">SUM(F77:F91)</f>
        <v>8643.9404799999993</v>
      </c>
      <c r="G76" s="180">
        <f t="shared" si="15"/>
        <v>7820.1200000000008</v>
      </c>
      <c r="H76" s="180">
        <f t="shared" si="15"/>
        <v>7926.46</v>
      </c>
      <c r="I76" s="180">
        <f t="shared" si="15"/>
        <v>0</v>
      </c>
      <c r="J76" s="180">
        <f t="shared" si="15"/>
        <v>0</v>
      </c>
      <c r="K76" s="180">
        <f t="shared" si="15"/>
        <v>1066.848</v>
      </c>
      <c r="L76" s="180">
        <f t="shared" si="15"/>
        <v>0</v>
      </c>
      <c r="M76" s="180">
        <f t="shared" si="15"/>
        <v>54079.669946666661</v>
      </c>
      <c r="N76" s="180">
        <f t="shared" si="15"/>
        <v>54079.669946666661</v>
      </c>
      <c r="O76" s="180">
        <f t="shared" si="15"/>
        <v>54079.669946666661</v>
      </c>
      <c r="P76" s="180">
        <f t="shared" si="15"/>
        <v>7.0416236909722212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193.40266666666668</v>
      </c>
      <c r="F77" s="14">
        <f>'1.2.3. ЦО тех осмотры'!Q9</f>
        <v>58.41</v>
      </c>
      <c r="G77" s="12"/>
      <c r="H77" s="12"/>
      <c r="I77" s="14"/>
      <c r="J77" s="60"/>
      <c r="K77" s="23"/>
      <c r="L77" s="23"/>
      <c r="M77" s="24">
        <f>SUM(E77:L77)</f>
        <v>251.81266666666667</v>
      </c>
      <c r="N77" s="23">
        <f>O77</f>
        <v>251.81266666666667</v>
      </c>
      <c r="O77" s="61">
        <f>'1.2.3. ЦО тех осмотры'!R9</f>
        <v>251.81266666666667</v>
      </c>
      <c r="P77" s="61">
        <f>O77/O6/12</f>
        <v>3.278810763888889E-2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928.33280000000002</v>
      </c>
      <c r="F78" s="14">
        <f>'1.2.3. ЦО тех осмотры'!Q16</f>
        <v>280.36</v>
      </c>
      <c r="G78" s="12"/>
      <c r="H78" s="12"/>
      <c r="I78" s="14"/>
      <c r="J78" s="60"/>
      <c r="K78" s="23"/>
      <c r="L78" s="23"/>
      <c r="M78" s="24">
        <f t="shared" si="6"/>
        <v>1208.6928</v>
      </c>
      <c r="N78" s="110">
        <f t="shared" ref="N78:N86" si="16">O78</f>
        <v>1208.6928</v>
      </c>
      <c r="O78" s="61">
        <f>'1.2.3. ЦО тех осмотры'!R16</f>
        <v>1208.6928</v>
      </c>
      <c r="P78" s="61">
        <f>O78/O6/12</f>
        <v>0.157381875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4123.5600000000004</v>
      </c>
      <c r="H79" s="12"/>
      <c r="I79" s="14"/>
      <c r="J79" s="60"/>
      <c r="K79" s="23"/>
      <c r="L79" s="23"/>
      <c r="M79" s="24">
        <f t="shared" si="6"/>
        <v>6012.14</v>
      </c>
      <c r="N79" s="110">
        <f t="shared" si="16"/>
        <v>6012.14</v>
      </c>
      <c r="O79" s="61">
        <f>'1.2.3. ЦО тех осмотры'!R22+'1.2.3. ЦО тех осмотры'!R37</f>
        <v>6012.14</v>
      </c>
      <c r="P79" s="61">
        <f>O79/O6/12</f>
        <v>0.78283072916666674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275.59879999999998</v>
      </c>
      <c r="F83" s="14">
        <f>'1.2.3. ЦО тех осмотры'!Q28</f>
        <v>83.23</v>
      </c>
      <c r="G83" s="12"/>
      <c r="H83" s="12"/>
      <c r="I83" s="14"/>
      <c r="J83" s="60"/>
      <c r="K83" s="23"/>
      <c r="L83" s="23"/>
      <c r="M83" s="24">
        <f t="shared" si="6"/>
        <v>358.8288</v>
      </c>
      <c r="N83" s="110">
        <f t="shared" si="16"/>
        <v>358.8288</v>
      </c>
      <c r="O83" s="61">
        <f>'1.2.3. ЦО тех осмотры'!R28</f>
        <v>358.8288</v>
      </c>
      <c r="P83" s="61">
        <f>O83/O6/12</f>
        <v>4.67225E-2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5334.24</v>
      </c>
      <c r="F85" s="14">
        <f>'1.2.3. ЦО опрессовка'!H13</f>
        <v>1610.9404799999998</v>
      </c>
      <c r="G85" s="12"/>
      <c r="H85" s="14">
        <f>'1.2.3. ЦО опрессовка'!H14</f>
        <v>7926.46</v>
      </c>
      <c r="I85" s="14">
        <f>'1.2.3. ЦО опрессовка'!H17</f>
        <v>0</v>
      </c>
      <c r="J85" s="60"/>
      <c r="K85" s="23">
        <f>'1.2.3. ЦО опрессовка'!H16</f>
        <v>1066.848</v>
      </c>
      <c r="L85" s="23"/>
      <c r="M85" s="24">
        <f t="shared" si="6"/>
        <v>15938.488479999998</v>
      </c>
      <c r="N85" s="110">
        <f t="shared" si="16"/>
        <v>15938.488479999998</v>
      </c>
      <c r="O85" s="61">
        <f>'1.2.3. ЦО опрессовка'!H18</f>
        <v>15938.488479999998</v>
      </c>
      <c r="P85" s="61">
        <f>O85/O6/12</f>
        <v>2.075324020833333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20104.207200000001</v>
      </c>
      <c r="F86" s="14">
        <f>'1.2.3. ЦО тех осмотры'!Q34</f>
        <v>6071.47</v>
      </c>
      <c r="G86" s="12"/>
      <c r="H86" s="12"/>
      <c r="I86" s="14"/>
      <c r="J86" s="60"/>
      <c r="K86" s="23"/>
      <c r="L86" s="23"/>
      <c r="M86" s="24">
        <f t="shared" si="6"/>
        <v>26175.677200000002</v>
      </c>
      <c r="N86" s="110">
        <f t="shared" si="16"/>
        <v>26175.677200000002</v>
      </c>
      <c r="O86" s="61">
        <f>'1.2.3. ЦО тех осмотры'!R34</f>
        <v>26175.677200000002</v>
      </c>
      <c r="P86" s="61">
        <f>O86/O6/12</f>
        <v>3.4082913020833332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3696.56</v>
      </c>
      <c r="H91" s="12"/>
      <c r="I91" s="14"/>
      <c r="J91" s="60"/>
      <c r="K91" s="123"/>
      <c r="L91" s="123"/>
      <c r="M91" s="24">
        <f>SUM(E91:L91)</f>
        <v>4134.03</v>
      </c>
      <c r="N91" s="124">
        <f>'1.2.3. Замена труб отопления'!R13</f>
        <v>4134.03</v>
      </c>
      <c r="O91" s="124">
        <f>N91</f>
        <v>4134.03</v>
      </c>
      <c r="P91" s="124">
        <f>N91/O6/12</f>
        <v>0.53828515624999995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6458.6992305422527</v>
      </c>
      <c r="F92" s="180">
        <f t="shared" ref="F92:M92" si="17">SUM(F93:F98)</f>
        <v>1950.5271676237601</v>
      </c>
      <c r="G92" s="180">
        <f t="shared" si="17"/>
        <v>1100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322.93496152711265</v>
      </c>
      <c r="L92" s="180">
        <f t="shared" si="17"/>
        <v>0</v>
      </c>
      <c r="M92" s="180">
        <f t="shared" si="17"/>
        <v>9832.1613596931256</v>
      </c>
      <c r="N92" s="185">
        <f>SUM(N93:N98)</f>
        <v>9832.1613596931256</v>
      </c>
      <c r="O92" s="185">
        <f>SUM(O93:O98)</f>
        <v>9832.1613596931256</v>
      </c>
      <c r="P92" s="185">
        <f>SUM(P93:P98)</f>
        <v>1.2802293437100425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6458.6992305422527</v>
      </c>
      <c r="F93" s="14">
        <f>'1.2.4. Электрооборудование'!E8</f>
        <v>1950.5271676237601</v>
      </c>
      <c r="G93" s="12"/>
      <c r="H93" s="12"/>
      <c r="I93" s="14"/>
      <c r="J93" s="60"/>
      <c r="K93" s="23">
        <f>'1.2.4. Электрооборудование'!E9</f>
        <v>322.93496152711265</v>
      </c>
      <c r="L93" s="23"/>
      <c r="M93" s="24">
        <f t="shared" ref="M93:M135" si="18">SUM(E93:L93)</f>
        <v>8732.1613596931256</v>
      </c>
      <c r="N93" s="23">
        <f>O93</f>
        <v>8732.1613596931256</v>
      </c>
      <c r="O93" s="61">
        <f>'1.2.4. Электрооборудование'!G13</f>
        <v>8732.1613596931256</v>
      </c>
      <c r="P93" s="61">
        <f>O93/O6/12</f>
        <v>1.1370001770433757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1100</v>
      </c>
      <c r="H94" s="12"/>
      <c r="I94" s="14"/>
      <c r="J94" s="60"/>
      <c r="K94" s="23"/>
      <c r="L94" s="23"/>
      <c r="M94" s="24">
        <f t="shared" si="18"/>
        <v>1100</v>
      </c>
      <c r="N94" s="23">
        <f>O94</f>
        <v>1100</v>
      </c>
      <c r="O94" s="61">
        <f>'1.2.4. Электрооборудование'!G14</f>
        <v>1100</v>
      </c>
      <c r="P94" s="61">
        <f>O94/O6/12</f>
        <v>0.14322916666666666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99411.016819120676</v>
      </c>
      <c r="F99" s="173">
        <f t="shared" ref="F99:M99" si="19">F100+F107+F117</f>
        <v>30022.127079374437</v>
      </c>
      <c r="G99" s="173">
        <f t="shared" si="19"/>
        <v>1781.4910683886783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309.12254579295006</v>
      </c>
      <c r="L99" s="173">
        <f t="shared" si="19"/>
        <v>0</v>
      </c>
      <c r="M99" s="173">
        <f t="shared" si="19"/>
        <v>131523.75751267673</v>
      </c>
      <c r="N99" s="174">
        <f>N100+N107+N117</f>
        <v>131523.75751267673</v>
      </c>
      <c r="O99" s="174">
        <f>O100+O107+O117</f>
        <v>131523.75751267673</v>
      </c>
      <c r="P99" s="174">
        <f>P100+P107+P117</f>
        <v>17.125489259463116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48881.412352180123</v>
      </c>
      <c r="F100" s="180">
        <f t="shared" ref="F100:M100" si="20">SUM(F101:F106)</f>
        <v>14762.186530358395</v>
      </c>
      <c r="G100" s="180">
        <f t="shared" si="20"/>
        <v>579.55030982590745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86.93254647388612</v>
      </c>
      <c r="L100" s="180">
        <f t="shared" si="20"/>
        <v>0</v>
      </c>
      <c r="M100" s="180">
        <f t="shared" si="20"/>
        <v>64310.081738838308</v>
      </c>
      <c r="N100" s="184">
        <f>SUM(N101:N106)</f>
        <v>64310.081738838315</v>
      </c>
      <c r="O100" s="184">
        <f>SUM(O101:O106)</f>
        <v>64310.081738838315</v>
      </c>
      <c r="P100" s="184">
        <f>SUM(P101:P106)</f>
        <v>8.3737085597445731</v>
      </c>
    </row>
    <row r="101" spans="1:16">
      <c r="A101" s="10"/>
      <c r="B101" s="59" t="s">
        <v>169</v>
      </c>
      <c r="C101" s="5"/>
      <c r="D101" s="5" t="s">
        <v>170</v>
      </c>
      <c r="E101" s="214">
        <f>'1.3.1. Уборка МОП'!F7</f>
        <v>48881.412352180123</v>
      </c>
      <c r="F101" s="214">
        <f>'1.3.1. Уборка МОП'!F8</f>
        <v>14762.186530358395</v>
      </c>
      <c r="G101" s="214">
        <f>'1.3.1. Уборка МОП'!F9</f>
        <v>579.55030982590745</v>
      </c>
      <c r="H101" s="12"/>
      <c r="I101" s="14"/>
      <c r="J101" s="60"/>
      <c r="K101" s="214">
        <f>'1.3.1. Уборка МОП'!F10</f>
        <v>86.93254647388612</v>
      </c>
      <c r="L101" s="23"/>
      <c r="M101" s="24">
        <f t="shared" si="18"/>
        <v>64310.081738838308</v>
      </c>
      <c r="N101" s="214">
        <f>O101</f>
        <v>64310.081738838315</v>
      </c>
      <c r="O101" s="214">
        <f>'1.3.1. Уборка МОП'!H15</f>
        <v>64310.081738838315</v>
      </c>
      <c r="P101" s="214">
        <f>O101/O6/12</f>
        <v>8.3737085597445731</v>
      </c>
    </row>
    <row r="102" spans="1:16">
      <c r="A102" s="10"/>
      <c r="B102" s="59" t="s">
        <v>171</v>
      </c>
      <c r="C102" s="5"/>
      <c r="D102" s="5" t="s">
        <v>172</v>
      </c>
      <c r="E102" s="219"/>
      <c r="F102" s="215"/>
      <c r="G102" s="215"/>
      <c r="H102" s="12"/>
      <c r="I102" s="14"/>
      <c r="J102" s="60"/>
      <c r="K102" s="215"/>
      <c r="L102" s="23"/>
      <c r="M102" s="24">
        <f t="shared" si="18"/>
        <v>0</v>
      </c>
      <c r="N102" s="215"/>
      <c r="O102" s="215"/>
      <c r="P102" s="215"/>
    </row>
    <row r="103" spans="1:16">
      <c r="A103" s="10"/>
      <c r="B103" s="59" t="s">
        <v>173</v>
      </c>
      <c r="C103" s="5"/>
      <c r="D103" s="5" t="s">
        <v>174</v>
      </c>
      <c r="E103" s="219"/>
      <c r="F103" s="215"/>
      <c r="G103" s="215"/>
      <c r="H103" s="12"/>
      <c r="I103" s="14"/>
      <c r="J103" s="60"/>
      <c r="K103" s="215"/>
      <c r="L103" s="23"/>
      <c r="M103" s="24">
        <f t="shared" si="18"/>
        <v>0</v>
      </c>
      <c r="N103" s="215"/>
      <c r="O103" s="215"/>
      <c r="P103" s="215"/>
    </row>
    <row r="104" spans="1:16">
      <c r="A104" s="10"/>
      <c r="B104" s="59" t="s">
        <v>175</v>
      </c>
      <c r="C104" s="5"/>
      <c r="D104" s="5" t="s">
        <v>88</v>
      </c>
      <c r="E104" s="219"/>
      <c r="F104" s="215"/>
      <c r="G104" s="215"/>
      <c r="H104" s="12"/>
      <c r="I104" s="14"/>
      <c r="J104" s="60"/>
      <c r="K104" s="215"/>
      <c r="L104" s="23"/>
      <c r="M104" s="24">
        <f t="shared" si="18"/>
        <v>0</v>
      </c>
      <c r="N104" s="215"/>
      <c r="O104" s="215"/>
      <c r="P104" s="215"/>
    </row>
    <row r="105" spans="1:16">
      <c r="A105" s="10"/>
      <c r="B105" s="59" t="s">
        <v>176</v>
      </c>
      <c r="C105" s="5"/>
      <c r="D105" s="5" t="s">
        <v>177</v>
      </c>
      <c r="E105" s="220"/>
      <c r="F105" s="216"/>
      <c r="G105" s="216"/>
      <c r="H105" s="12"/>
      <c r="I105" s="14"/>
      <c r="J105" s="60"/>
      <c r="K105" s="216"/>
      <c r="L105" s="23"/>
      <c r="M105" s="24">
        <f t="shared" si="18"/>
        <v>0</v>
      </c>
      <c r="N105" s="216"/>
      <c r="O105" s="216"/>
      <c r="P105" s="216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50529.604466940546</v>
      </c>
      <c r="F107" s="180">
        <f t="shared" ref="F107:M107" si="21">SUM(F108:F116)</f>
        <v>15259.940549016042</v>
      </c>
      <c r="G107" s="180">
        <f t="shared" si="21"/>
        <v>1201.940758562771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222.18999931906393</v>
      </c>
      <c r="L107" s="180">
        <f t="shared" si="21"/>
        <v>0</v>
      </c>
      <c r="M107" s="180">
        <f t="shared" si="21"/>
        <v>67213.675773838419</v>
      </c>
      <c r="N107" s="180">
        <f>N108+N115</f>
        <v>67213.675773838419</v>
      </c>
      <c r="O107" s="180">
        <f>O108+O115</f>
        <v>67213.675773838419</v>
      </c>
      <c r="P107" s="180">
        <f>P108+P115</f>
        <v>8.7517806997185428</v>
      </c>
    </row>
    <row r="108" spans="1:16">
      <c r="A108" s="10"/>
      <c r="B108" s="59" t="s">
        <v>181</v>
      </c>
      <c r="C108" s="5"/>
      <c r="D108" s="5" t="s">
        <v>182</v>
      </c>
      <c r="E108" s="214">
        <f>'1.3.2.Уборка зем.участка'!F7</f>
        <v>48881.412352180123</v>
      </c>
      <c r="F108" s="214">
        <f>'1.3.2.Уборка зем.участка'!F8</f>
        <v>14762.186530358395</v>
      </c>
      <c r="G108" s="214">
        <f>'1.3.2.Уборка зем.участка'!F9</f>
        <v>782.95190321628797</v>
      </c>
      <c r="H108" s="12"/>
      <c r="I108" s="14"/>
      <c r="J108" s="60"/>
      <c r="K108" s="214">
        <f>'1.3.2.Уборка зем.участка'!F10</f>
        <v>117.44278548244318</v>
      </c>
      <c r="L108" s="23"/>
      <c r="M108" s="24">
        <f t="shared" si="18"/>
        <v>64543.993571237246</v>
      </c>
      <c r="N108" s="214">
        <f>O108</f>
        <v>64543.993571237246</v>
      </c>
      <c r="O108" s="214">
        <f>'1.3.2.Уборка зем.участка'!H15</f>
        <v>64543.993571237246</v>
      </c>
      <c r="P108" s="214">
        <f>O108/O6/12</f>
        <v>8.404165829588182</v>
      </c>
    </row>
    <row r="109" spans="1:16">
      <c r="A109" s="10"/>
      <c r="B109" s="59" t="s">
        <v>183</v>
      </c>
      <c r="C109" s="5"/>
      <c r="D109" s="5" t="s">
        <v>182</v>
      </c>
      <c r="E109" s="219"/>
      <c r="F109" s="215"/>
      <c r="G109" s="215"/>
      <c r="H109" s="12"/>
      <c r="I109" s="14"/>
      <c r="J109" s="60"/>
      <c r="K109" s="215"/>
      <c r="L109" s="23"/>
      <c r="M109" s="24">
        <f t="shared" si="18"/>
        <v>0</v>
      </c>
      <c r="N109" s="215"/>
      <c r="O109" s="215"/>
      <c r="P109" s="215"/>
    </row>
    <row r="110" spans="1:16">
      <c r="A110" s="10"/>
      <c r="B110" s="59" t="s">
        <v>184</v>
      </c>
      <c r="C110" s="5"/>
      <c r="D110" s="12" t="s">
        <v>94</v>
      </c>
      <c r="E110" s="219"/>
      <c r="F110" s="215"/>
      <c r="G110" s="215"/>
      <c r="H110" s="12"/>
      <c r="I110" s="14"/>
      <c r="J110" s="60"/>
      <c r="K110" s="215"/>
      <c r="L110" s="23"/>
      <c r="M110" s="24">
        <f t="shared" si="18"/>
        <v>0</v>
      </c>
      <c r="N110" s="215"/>
      <c r="O110" s="215"/>
      <c r="P110" s="215"/>
    </row>
    <row r="111" spans="1:16" ht="34.5" customHeight="1">
      <c r="A111" s="10"/>
      <c r="B111" s="59" t="s">
        <v>185</v>
      </c>
      <c r="C111" s="5"/>
      <c r="D111" s="58" t="s">
        <v>186</v>
      </c>
      <c r="E111" s="219"/>
      <c r="F111" s="215"/>
      <c r="G111" s="215"/>
      <c r="H111" s="12"/>
      <c r="I111" s="14"/>
      <c r="J111" s="60"/>
      <c r="K111" s="215"/>
      <c r="L111" s="23"/>
      <c r="M111" s="24">
        <f t="shared" si="18"/>
        <v>0</v>
      </c>
      <c r="N111" s="215"/>
      <c r="O111" s="215"/>
      <c r="P111" s="215"/>
    </row>
    <row r="112" spans="1:16" ht="23.25" customHeight="1">
      <c r="A112" s="10"/>
      <c r="B112" s="59" t="s">
        <v>187</v>
      </c>
      <c r="C112" s="5"/>
      <c r="D112" s="12" t="s">
        <v>94</v>
      </c>
      <c r="E112" s="219"/>
      <c r="F112" s="215"/>
      <c r="G112" s="215"/>
      <c r="H112" s="12"/>
      <c r="I112" s="14"/>
      <c r="J112" s="60"/>
      <c r="K112" s="215"/>
      <c r="L112" s="23"/>
      <c r="M112" s="24">
        <f t="shared" si="18"/>
        <v>0</v>
      </c>
      <c r="N112" s="215"/>
      <c r="O112" s="215"/>
      <c r="P112" s="215"/>
    </row>
    <row r="113" spans="1:16">
      <c r="A113" s="10"/>
      <c r="B113" s="59" t="s">
        <v>189</v>
      </c>
      <c r="C113" s="5"/>
      <c r="D113" s="12"/>
      <c r="E113" s="219"/>
      <c r="F113" s="215"/>
      <c r="G113" s="215"/>
      <c r="H113" s="12"/>
      <c r="I113" s="14"/>
      <c r="J113" s="60"/>
      <c r="K113" s="215"/>
      <c r="L113" s="23"/>
      <c r="M113" s="24">
        <f t="shared" si="18"/>
        <v>0</v>
      </c>
      <c r="N113" s="215"/>
      <c r="O113" s="215"/>
      <c r="P113" s="215"/>
    </row>
    <row r="114" spans="1:16">
      <c r="A114" s="10"/>
      <c r="B114" s="59" t="s">
        <v>190</v>
      </c>
      <c r="C114" s="5"/>
      <c r="D114" s="5" t="s">
        <v>182</v>
      </c>
      <c r="E114" s="220"/>
      <c r="F114" s="216"/>
      <c r="G114" s="216"/>
      <c r="H114" s="12"/>
      <c r="I114" s="14"/>
      <c r="J114" s="60"/>
      <c r="K114" s="216"/>
      <c r="L114" s="23"/>
      <c r="M114" s="24">
        <f t="shared" si="18"/>
        <v>0</v>
      </c>
      <c r="N114" s="216"/>
      <c r="O114" s="216"/>
      <c r="P114" s="216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1648.1921147604239</v>
      </c>
      <c r="F115" s="14">
        <f>'1.3.2. Скос травы'!H8</f>
        <v>497.75401865764809</v>
      </c>
      <c r="G115" s="14">
        <f>'1.3.2. Скос травы'!H9</f>
        <v>418.98885534648298</v>
      </c>
      <c r="H115" s="12"/>
      <c r="I115" s="14"/>
      <c r="J115" s="60"/>
      <c r="K115" s="23">
        <f>'1.3.2. Скос травы'!H10</f>
        <v>104.74721383662074</v>
      </c>
      <c r="L115" s="23"/>
      <c r="M115" s="24">
        <f t="shared" si="18"/>
        <v>2669.6822026011755</v>
      </c>
      <c r="N115" s="23">
        <f>'1.3.2. Скос травы'!J15</f>
        <v>2669.682202601176</v>
      </c>
      <c r="O115" s="61">
        <f>'1.3.2. Скос травы'!J15</f>
        <v>2669.682202601176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38468.70009306127</v>
      </c>
      <c r="F134" s="173">
        <f t="shared" ref="F134:M134" si="26">F135</f>
        <v>11617.547428104501</v>
      </c>
      <c r="G134" s="173">
        <f t="shared" si="26"/>
        <v>0</v>
      </c>
      <c r="H134" s="173">
        <f t="shared" si="26"/>
        <v>0</v>
      </c>
      <c r="I134" s="173">
        <f t="shared" si="26"/>
        <v>9568.2128152166515</v>
      </c>
      <c r="J134" s="173">
        <f t="shared" si="26"/>
        <v>0</v>
      </c>
      <c r="K134" s="173">
        <f t="shared" si="26"/>
        <v>5770.3050139591915</v>
      </c>
      <c r="L134" s="173">
        <f t="shared" si="26"/>
        <v>0</v>
      </c>
      <c r="M134" s="173">
        <f t="shared" si="26"/>
        <v>65424.765350341622</v>
      </c>
      <c r="N134" s="174">
        <f>N135</f>
        <v>65424.765350341608</v>
      </c>
      <c r="O134" s="174">
        <f>O135</f>
        <v>65424.765350341608</v>
      </c>
      <c r="P134" s="174">
        <f>P135</f>
        <v>8.5188496549923958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38468.70009306127</v>
      </c>
      <c r="F135" s="14">
        <f>'1.5. АДС'!H12</f>
        <v>11617.547428104501</v>
      </c>
      <c r="G135" s="14"/>
      <c r="H135" s="14"/>
      <c r="I135" s="14">
        <f>'1.5. АДС'!H13</f>
        <v>9568.2128152166515</v>
      </c>
      <c r="J135" s="23"/>
      <c r="K135" s="23">
        <f>'1.5. АДС'!H14</f>
        <v>5770.3050139591915</v>
      </c>
      <c r="L135" s="23"/>
      <c r="M135" s="24">
        <f t="shared" si="18"/>
        <v>65424.765350341622</v>
      </c>
      <c r="N135" s="14">
        <f>O135</f>
        <v>65424.765350341608</v>
      </c>
      <c r="O135" s="61">
        <f>'1.5. АДС'!J18</f>
        <v>65424.765350341608</v>
      </c>
      <c r="P135" s="61">
        <f>O135/O6/12</f>
        <v>8.5188496549923958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56.730871371178246</v>
      </c>
      <c r="F136" s="167">
        <f>F137</f>
        <v>17.132723154095832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1783.7768345552354</v>
      </c>
      <c r="J136" s="167">
        <f t="shared" si="27"/>
        <v>0</v>
      </c>
      <c r="K136" s="167">
        <f t="shared" si="27"/>
        <v>801.81582949361064</v>
      </c>
      <c r="L136" s="167">
        <f t="shared" si="27"/>
        <v>0</v>
      </c>
      <c r="M136" s="167">
        <f t="shared" si="27"/>
        <v>2659.4562585741201</v>
      </c>
      <c r="N136" s="168">
        <f>N137</f>
        <v>2659.46</v>
      </c>
      <c r="O136" s="168">
        <f>O137</f>
        <v>2659.46</v>
      </c>
      <c r="P136" s="168">
        <f>P137</f>
        <v>0.34628385416666668</v>
      </c>
      <c r="Q136" s="120">
        <f>O136/O6/12</f>
        <v>0.34628385416666668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56.730871371178246</v>
      </c>
      <c r="F137" s="14">
        <f>'2. Управление'!E12</f>
        <v>17.132723154095832</v>
      </c>
      <c r="G137" s="14"/>
      <c r="H137" s="14"/>
      <c r="I137" s="14">
        <f>'2. Управление'!E13</f>
        <v>1783.7768345552354</v>
      </c>
      <c r="J137" s="23"/>
      <c r="K137" s="23">
        <f>'2. Управление'!E14</f>
        <v>801.81582949361064</v>
      </c>
      <c r="L137" s="23"/>
      <c r="M137" s="24">
        <f>SUM(E137:L137)</f>
        <v>2659.4562585741201</v>
      </c>
      <c r="N137" s="23">
        <f>O137</f>
        <v>2659.46</v>
      </c>
      <c r="O137" s="61">
        <f>'2. Управление'!G18</f>
        <v>2659.46</v>
      </c>
      <c r="P137" s="61">
        <f>O137/O6/12</f>
        <v>0.34628385416666668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178931.3404639287</v>
      </c>
      <c r="F138" s="53">
        <f t="shared" si="28"/>
        <v>54037.25487825679</v>
      </c>
      <c r="G138" s="53">
        <f t="shared" si="28"/>
        <v>14333.381868388678</v>
      </c>
      <c r="H138" s="53">
        <f t="shared" si="28"/>
        <v>8176.8562876249998</v>
      </c>
      <c r="I138" s="53">
        <f t="shared" si="28"/>
        <v>11351.989649771887</v>
      </c>
      <c r="J138" s="53">
        <f t="shared" si="28"/>
        <v>0</v>
      </c>
      <c r="K138" s="53">
        <f t="shared" si="28"/>
        <v>8271.026350772865</v>
      </c>
      <c r="L138" s="53">
        <f t="shared" si="28"/>
        <v>0</v>
      </c>
      <c r="M138" s="53">
        <f t="shared" si="28"/>
        <v>275101.84949874389</v>
      </c>
      <c r="N138" s="53">
        <f>N20+N136</f>
        <v>271545.62324016984</v>
      </c>
      <c r="O138" s="53">
        <f>O20+O136</f>
        <v>271545.62324016984</v>
      </c>
      <c r="P138" s="53">
        <f>O138/B139/12</f>
        <v>35.357503026063782</v>
      </c>
      <c r="Q138" s="120">
        <v>35.36</v>
      </c>
    </row>
    <row r="139" spans="1:17" hidden="1">
      <c r="A139" s="64"/>
      <c r="B139" s="189">
        <f>O6</f>
        <v>640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53"/>
      <c r="C142" s="253"/>
      <c r="D142" s="253"/>
      <c r="E142" s="253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13"/>
    </row>
    <row r="143" spans="1:17" s="21" customFormat="1" ht="37.5" customHeight="1">
      <c r="B143" s="253" t="s">
        <v>450</v>
      </c>
      <c r="C143" s="253"/>
      <c r="D143" s="253"/>
      <c r="E143" s="253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13"/>
    </row>
  </sheetData>
  <mergeCells count="61"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1" workbookViewId="0">
      <selection activeCell="R38" sqref="R3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61" t="s">
        <v>342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18" ht="49.5" customHeight="1">
      <c r="B2" s="262" t="s">
        <v>444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18" ht="23.25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8" ht="18.75" customHeight="1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5" spans="1:18" ht="41.25" customHeight="1">
      <c r="B5" s="263" t="s">
        <v>218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</row>
    <row r="6" spans="1:18" ht="40.5" customHeight="1">
      <c r="B6" s="264" t="s">
        <v>287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640</v>
      </c>
      <c r="I8" s="158">
        <f>G8*H8/12</f>
        <v>0.53333333333333333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193.40266666666668</v>
      </c>
      <c r="Q8" s="8">
        <f>ROUND(P8*30.2/100,2)</f>
        <v>58.41</v>
      </c>
      <c r="R8" s="8">
        <f>P8+Q8</f>
        <v>251.81266666666667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193.40266666666668</v>
      </c>
      <c r="Q9" s="19">
        <f>Q8</f>
        <v>58.41</v>
      </c>
      <c r="R9" s="19">
        <f>R8</f>
        <v>251.81266666666667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72" t="s">
        <v>231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</row>
    <row r="13" spans="1:18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640</v>
      </c>
      <c r="I15" s="9">
        <f>G15*H15</f>
        <v>2.56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928.33280000000002</v>
      </c>
      <c r="Q15" s="8">
        <f>ROUND(P15*30.2/100,2)</f>
        <v>280.36</v>
      </c>
      <c r="R15" s="8">
        <f>P15+Q15</f>
        <v>1208.6928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928.33280000000002</v>
      </c>
      <c r="Q16" s="19">
        <f>Q15</f>
        <v>280.36</v>
      </c>
      <c r="R16" s="19">
        <f>R15</f>
        <v>1208.6928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73" t="s">
        <v>233</v>
      </c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</row>
    <row r="24" spans="1:20" s="21" customFormat="1" ht="38.25" customHeight="1">
      <c r="B24" s="253" t="s">
        <v>239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</row>
    <row r="25" spans="1:20" ht="38.25" customHeight="1">
      <c r="B25" s="260" t="s">
        <v>240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4</v>
      </c>
      <c r="I27" s="9">
        <f>G27*H27</f>
        <v>0.76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275.59879999999998</v>
      </c>
      <c r="Q27" s="8">
        <f>ROUND(P27*30.2/100,2)</f>
        <v>83.23</v>
      </c>
      <c r="R27" s="8">
        <f>P27+Q27</f>
        <v>358.8288</v>
      </c>
      <c r="T27" s="159">
        <v>4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275.59879999999998</v>
      </c>
      <c r="Q28" s="19">
        <f>Q27</f>
        <v>83.23</v>
      </c>
      <c r="R28" s="19">
        <f>R27</f>
        <v>358.8288</v>
      </c>
    </row>
    <row r="30" spans="1:20" s="21" customFormat="1" ht="38.25" customHeight="1">
      <c r="B30" s="253" t="s">
        <v>417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</row>
    <row r="31" spans="1:20" ht="38.25" customHeight="1">
      <c r="B31" s="260" t="s">
        <v>418</v>
      </c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336</v>
      </c>
      <c r="I33" s="9">
        <f>G33*H33</f>
        <v>55.440000000000005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20104.207200000001</v>
      </c>
      <c r="Q33" s="8">
        <f>ROUND(P33*30.2/100,2)</f>
        <v>6071.47</v>
      </c>
      <c r="R33" s="8">
        <f>P33+Q33</f>
        <v>26175.677200000002</v>
      </c>
      <c r="T33" s="159">
        <v>336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20104.207200000001</v>
      </c>
      <c r="Q34" s="19">
        <f>Q33</f>
        <v>6071.47</v>
      </c>
      <c r="R34" s="19">
        <f>R33</f>
        <v>26175.677200000002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22952.061466666666</v>
      </c>
      <c r="Q36" s="92">
        <f t="shared" ref="Q36" si="0">Q9+Q16+Q22+Q28+Q34</f>
        <v>6931.5300000000007</v>
      </c>
      <c r="R36" s="92">
        <f>R9+R16+R22+R28+R34</f>
        <v>29883.591466666669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4123.5600000000004</v>
      </c>
    </row>
    <row r="38" spans="1:20" ht="29.25" customHeight="1">
      <c r="A38" s="134"/>
      <c r="B38" s="269" t="s">
        <v>360</v>
      </c>
      <c r="C38" s="270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22952.061466666666</v>
      </c>
      <c r="Q38" s="133">
        <f t="shared" ref="Q38:R38" si="1">Q36+Q37</f>
        <v>6931.5300000000007</v>
      </c>
      <c r="R38" s="133">
        <f t="shared" si="1"/>
        <v>34007.15146666667</v>
      </c>
    </row>
    <row r="39" spans="1:20" ht="38.25" customHeight="1">
      <c r="B39" s="271" t="s">
        <v>461</v>
      </c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</row>
  </sheetData>
  <mergeCells count="19"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  <mergeCell ref="B1:R1"/>
    <mergeCell ref="B2:R2"/>
    <mergeCell ref="B4:R4"/>
    <mergeCell ref="B5:R5"/>
    <mergeCell ref="B6:R6"/>
    <mergeCell ref="B3:R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12" workbookViewId="0">
      <selection activeCell="H18" sqref="H18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61" t="s">
        <v>342</v>
      </c>
      <c r="C1" s="261"/>
      <c r="D1" s="261"/>
      <c r="E1" s="261"/>
      <c r="F1" s="261"/>
      <c r="G1" s="261"/>
      <c r="H1" s="261"/>
    </row>
    <row r="2" spans="1:12" ht="58.5" customHeight="1">
      <c r="B2" s="262" t="s">
        <v>407</v>
      </c>
      <c r="C2" s="262"/>
      <c r="D2" s="262"/>
      <c r="E2" s="262"/>
      <c r="F2" s="262"/>
      <c r="G2" s="262"/>
      <c r="H2" s="262"/>
    </row>
    <row r="3" spans="1:12" ht="26.25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</row>
    <row r="4" spans="1:12" ht="18.75" customHeight="1">
      <c r="B4" s="262" t="s">
        <v>451</v>
      </c>
      <c r="C4" s="262"/>
      <c r="D4" s="262"/>
      <c r="E4" s="262"/>
      <c r="F4" s="262"/>
      <c r="G4" s="262"/>
      <c r="H4" s="26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5334.24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3</v>
      </c>
      <c r="E9" s="9">
        <v>329.66</v>
      </c>
      <c r="F9" s="44">
        <v>164.8</v>
      </c>
      <c r="G9" s="46">
        <v>30787</v>
      </c>
      <c r="H9" s="8">
        <f>ROUND(D9*E9,2)</f>
        <v>988.98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3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1087.8900000000001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3</v>
      </c>
      <c r="E11" s="9">
        <v>398.98</v>
      </c>
      <c r="F11" s="44">
        <f>F9</f>
        <v>164.8</v>
      </c>
      <c r="G11" s="46">
        <v>30787</v>
      </c>
      <c r="H11" s="8">
        <f t="shared" si="0"/>
        <v>1196.94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3</v>
      </c>
      <c r="E12" s="9">
        <v>686.81</v>
      </c>
      <c r="F12" s="44">
        <f>F9</f>
        <v>164.8</v>
      </c>
      <c r="G12" s="46">
        <v>30787</v>
      </c>
      <c r="H12" s="8">
        <f t="shared" si="0"/>
        <v>2060.4299999999998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1610.9404799999998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2</v>
      </c>
      <c r="E14" s="9">
        <v>3963.23</v>
      </c>
      <c r="F14" s="44"/>
      <c r="G14" s="44"/>
      <c r="H14" s="8">
        <f>D14*E14</f>
        <v>7926.46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1066.848</v>
      </c>
      <c r="I16" s="100">
        <v>20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15938.488479999998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71" t="s">
        <v>462</v>
      </c>
      <c r="C20" s="271"/>
      <c r="D20" s="271"/>
      <c r="E20" s="271"/>
      <c r="F20" s="271"/>
      <c r="G20" s="271"/>
      <c r="H20" s="271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6" workbookViewId="0">
      <selection activeCell="R13" sqref="R1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61" t="s">
        <v>342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0" ht="15.75">
      <c r="B2" s="262" t="s">
        <v>445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20" ht="15.75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20" ht="29.25" customHeight="1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5" spans="1:20" s="21" customFormat="1" ht="30.75" customHeight="1">
      <c r="B5" s="253" t="s">
        <v>416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</row>
    <row r="6" spans="1:20" ht="27" customHeight="1">
      <c r="B6" s="260" t="s">
        <v>414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336</v>
      </c>
      <c r="I8" s="9">
        <f>G8*H8</f>
        <v>55.440000000000005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336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3696.56</v>
      </c>
    </row>
    <row r="13" spans="1:20" ht="24" customHeight="1">
      <c r="A13" s="134"/>
      <c r="B13" s="269" t="s">
        <v>360</v>
      </c>
      <c r="C13" s="270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4134.03</v>
      </c>
    </row>
    <row r="14" spans="1:20" ht="49.5" customHeight="1">
      <c r="B14" s="271" t="s">
        <v>463</v>
      </c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</row>
  </sheetData>
  <mergeCells count="10">
    <mergeCell ref="B14:R14"/>
    <mergeCell ref="B5:R5"/>
    <mergeCell ref="B6:R6"/>
    <mergeCell ref="B12:C12"/>
    <mergeCell ref="B13:C13"/>
    <mergeCell ref="B1:R1"/>
    <mergeCell ref="B2:R2"/>
    <mergeCell ref="B3:R3"/>
    <mergeCell ref="B4:R4"/>
    <mergeCell ref="B11:C1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9" workbookViewId="0">
      <selection activeCell="G14" sqref="G14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61" t="s">
        <v>339</v>
      </c>
      <c r="C1" s="261"/>
      <c r="D1" s="261"/>
      <c r="E1" s="261"/>
      <c r="F1" s="261"/>
      <c r="G1" s="261"/>
    </row>
    <row r="2" spans="1:13" ht="58.5" customHeight="1">
      <c r="B2" s="262" t="s">
        <v>408</v>
      </c>
      <c r="C2" s="262"/>
      <c r="D2" s="262"/>
      <c r="E2" s="262"/>
      <c r="F2" s="262"/>
      <c r="G2" s="262"/>
    </row>
    <row r="3" spans="1:13" ht="32.25" customHeight="1">
      <c r="B3" s="262" t="s">
        <v>451</v>
      </c>
      <c r="C3" s="262"/>
      <c r="D3" s="262"/>
      <c r="E3" s="262"/>
      <c r="F3" s="262"/>
      <c r="G3" s="26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91" t="s">
        <v>1</v>
      </c>
      <c r="B5" s="256" t="s">
        <v>2</v>
      </c>
      <c r="C5" s="256" t="s">
        <v>3</v>
      </c>
      <c r="D5" s="293" t="s">
        <v>4</v>
      </c>
      <c r="E5" s="289" t="s">
        <v>400</v>
      </c>
      <c r="F5" s="226" t="s">
        <v>5</v>
      </c>
      <c r="G5" s="228"/>
    </row>
    <row r="6" spans="1:13" s="4" customFormat="1" ht="36.75" customHeight="1">
      <c r="A6" s="292"/>
      <c r="B6" s="257"/>
      <c r="C6" s="257"/>
      <c r="D6" s="294"/>
      <c r="E6" s="290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0.25</v>
      </c>
      <c r="E7" s="105">
        <f>G7/D11*D13</f>
        <v>6458.6992305422527</v>
      </c>
      <c r="F7" s="14">
        <v>14820.36</v>
      </c>
      <c r="G7" s="8">
        <f>F7*12</f>
        <v>177844.32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1950.5271676237601</v>
      </c>
      <c r="F8" s="14">
        <f>F7*30.2/100</f>
        <v>4475.7487200000005</v>
      </c>
      <c r="G8" s="8">
        <f>G7*D8/100</f>
        <v>53708.984639999995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322.93496152711265</v>
      </c>
      <c r="F9" s="23">
        <f>F7*H9/100</f>
        <v>741.01800000000003</v>
      </c>
      <c r="G9" s="69">
        <f>G7*H9/100</f>
        <v>8892.2160000000003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20037.12672</v>
      </c>
      <c r="G10" s="24">
        <f>SUM(G7:G9)</f>
        <v>240445.52064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1.1370001770433757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640</v>
      </c>
      <c r="E13" s="153">
        <f>E7+E8+E9</f>
        <v>8732.1613596931256</v>
      </c>
      <c r="F13" s="24">
        <f>D12*D13</f>
        <v>727.68011330776051</v>
      </c>
      <c r="G13" s="19">
        <f>F13*12</f>
        <v>8732.1613596931256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1100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9832.1613596931256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71" t="s">
        <v>464</v>
      </c>
      <c r="C17" s="271"/>
      <c r="D17" s="271"/>
      <c r="E17" s="271"/>
      <c r="F17" s="271"/>
      <c r="G17" s="271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A5:A6"/>
    <mergeCell ref="B5:B6"/>
    <mergeCell ref="C5:C6"/>
    <mergeCell ref="D5:D6"/>
    <mergeCell ref="F5:G5"/>
    <mergeCell ref="B17:G17"/>
    <mergeCell ref="B18:G18"/>
    <mergeCell ref="B19:G19"/>
    <mergeCell ref="B20:G20"/>
    <mergeCell ref="B1:G1"/>
    <mergeCell ref="B2:G2"/>
    <mergeCell ref="B3:G3"/>
    <mergeCell ref="B4:G4"/>
    <mergeCell ref="E5:E6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11" workbookViewId="0">
      <selection activeCell="I10" sqref="I10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61" t="s">
        <v>344</v>
      </c>
      <c r="C1" s="261"/>
      <c r="D1" s="261"/>
      <c r="E1" s="261"/>
      <c r="F1" s="261"/>
      <c r="G1" s="261"/>
      <c r="H1" s="261"/>
    </row>
    <row r="2" spans="1:15" ht="58.5" customHeight="1">
      <c r="B2" s="262" t="s">
        <v>466</v>
      </c>
      <c r="C2" s="262"/>
      <c r="D2" s="262"/>
      <c r="E2" s="262"/>
      <c r="F2" s="262"/>
      <c r="G2" s="262"/>
      <c r="H2" s="262"/>
    </row>
    <row r="3" spans="1:15" ht="32.25" customHeight="1">
      <c r="B3" s="262" t="s">
        <v>451</v>
      </c>
      <c r="C3" s="262"/>
      <c r="D3" s="262"/>
      <c r="E3" s="262"/>
      <c r="F3" s="262"/>
      <c r="G3" s="262"/>
      <c r="H3" s="26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91" t="s">
        <v>1</v>
      </c>
      <c r="B5" s="256" t="s">
        <v>2</v>
      </c>
      <c r="C5" s="256" t="s">
        <v>3</v>
      </c>
      <c r="D5" s="293" t="s">
        <v>4</v>
      </c>
      <c r="E5" s="295" t="s">
        <v>44</v>
      </c>
      <c r="F5" s="289" t="s">
        <v>400</v>
      </c>
      <c r="G5" s="226" t="s">
        <v>5</v>
      </c>
      <c r="H5" s="228"/>
    </row>
    <row r="6" spans="1:15" s="4" customFormat="1" ht="36.75" customHeight="1">
      <c r="A6" s="292"/>
      <c r="B6" s="257"/>
      <c r="C6" s="257"/>
      <c r="D6" s="294"/>
      <c r="E6" s="296"/>
      <c r="F6" s="290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48881.412352180123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14762.186530358395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579.55030982590745</v>
      </c>
      <c r="G9" s="23">
        <f>H9/12</f>
        <v>1329.8566666666668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86.93254647388612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147568.19120666664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8.3737085597445731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640</v>
      </c>
      <c r="E15" s="201"/>
      <c r="F15" s="207">
        <f>F7+F8+F9+F10</f>
        <v>64310.081738838308</v>
      </c>
      <c r="G15" s="133">
        <f>D14*D15</f>
        <v>5359.1734782365265</v>
      </c>
      <c r="H15" s="133">
        <f>G15*12</f>
        <v>64310.081738838315</v>
      </c>
      <c r="I15" s="147">
        <f>F15-H15</f>
        <v>0</v>
      </c>
      <c r="J15" s="97"/>
      <c r="K15" s="97"/>
      <c r="L15" s="97"/>
      <c r="M15" s="97"/>
    </row>
    <row r="16" spans="1:15" ht="52.5" customHeight="1">
      <c r="B16" s="271" t="s">
        <v>465</v>
      </c>
      <c r="C16" s="271"/>
      <c r="D16" s="271"/>
      <c r="E16" s="271"/>
      <c r="F16" s="271"/>
      <c r="G16" s="271"/>
      <c r="H16" s="271"/>
    </row>
  </sheetData>
  <mergeCells count="12">
    <mergeCell ref="B16:H16"/>
    <mergeCell ref="B1:H1"/>
    <mergeCell ref="B2:H2"/>
    <mergeCell ref="B3:H3"/>
    <mergeCell ref="B4:H4"/>
    <mergeCell ref="A5:A6"/>
    <mergeCell ref="B5:B6"/>
    <mergeCell ref="C5:C6"/>
    <mergeCell ref="D5:D6"/>
    <mergeCell ref="G5:H5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61" t="s">
        <v>345</v>
      </c>
      <c r="C1" s="261"/>
      <c r="D1" s="261"/>
      <c r="E1" s="261"/>
      <c r="F1" s="261"/>
      <c r="G1" s="261"/>
      <c r="H1" s="261"/>
    </row>
    <row r="2" spans="1:12" ht="58.5" customHeight="1">
      <c r="B2" s="262" t="s">
        <v>409</v>
      </c>
      <c r="C2" s="262"/>
      <c r="D2" s="262"/>
      <c r="E2" s="262"/>
      <c r="F2" s="262"/>
      <c r="G2" s="262"/>
      <c r="H2" s="262"/>
    </row>
    <row r="3" spans="1:12" ht="25.5" customHeight="1">
      <c r="B3" s="262" t="s">
        <v>451</v>
      </c>
      <c r="C3" s="262"/>
      <c r="D3" s="262"/>
      <c r="E3" s="262"/>
      <c r="F3" s="262"/>
      <c r="G3" s="262"/>
      <c r="H3" s="26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91" t="s">
        <v>1</v>
      </c>
      <c r="B5" s="256" t="s">
        <v>2</v>
      </c>
      <c r="C5" s="256" t="s">
        <v>3</v>
      </c>
      <c r="D5" s="293" t="s">
        <v>4</v>
      </c>
      <c r="E5" s="295" t="s">
        <v>44</v>
      </c>
      <c r="F5" s="295" t="s">
        <v>400</v>
      </c>
      <c r="G5" s="226" t="s">
        <v>248</v>
      </c>
      <c r="H5" s="228"/>
    </row>
    <row r="6" spans="1:12" s="4" customFormat="1" ht="36.75" customHeight="1">
      <c r="A6" s="292"/>
      <c r="B6" s="257"/>
      <c r="C6" s="257"/>
      <c r="D6" s="294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48881.412352180123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14762.186530358395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782.95190321628797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117.44278548244318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640</v>
      </c>
      <c r="E15" s="201"/>
      <c r="F15" s="207">
        <f>F7+F8+F9+F10</f>
        <v>64543.993571237246</v>
      </c>
      <c r="G15" s="133">
        <f>D14*D15</f>
        <v>5378.6661309364372</v>
      </c>
      <c r="H15" s="133">
        <f>G15*12</f>
        <v>64543.993571237246</v>
      </c>
      <c r="I15" s="147">
        <f>F15-H15</f>
        <v>0</v>
      </c>
      <c r="J15" s="97"/>
      <c r="K15" s="97"/>
      <c r="L15" s="97"/>
    </row>
    <row r="16" spans="1:12" ht="49.5" customHeight="1">
      <c r="B16" s="271" t="s">
        <v>464</v>
      </c>
      <c r="C16" s="271"/>
      <c r="D16" s="271"/>
      <c r="E16" s="271"/>
      <c r="F16" s="271"/>
      <c r="G16" s="271"/>
      <c r="H16" s="271"/>
    </row>
  </sheetData>
  <mergeCells count="12">
    <mergeCell ref="B16:H16"/>
    <mergeCell ref="B1:H1"/>
    <mergeCell ref="B2:H2"/>
    <mergeCell ref="B3:H3"/>
    <mergeCell ref="B4:H4"/>
    <mergeCell ref="A5:A6"/>
    <mergeCell ref="B5:B6"/>
    <mergeCell ref="C5:C6"/>
    <mergeCell ref="D5:D6"/>
    <mergeCell ref="G5:H5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61" t="s">
        <v>345</v>
      </c>
      <c r="C1" s="261"/>
      <c r="D1" s="261"/>
      <c r="E1" s="261"/>
      <c r="F1" s="261"/>
      <c r="G1" s="261"/>
      <c r="H1" s="261"/>
      <c r="I1" s="261"/>
      <c r="J1" s="261"/>
    </row>
    <row r="2" spans="1:14" ht="58.5" customHeight="1">
      <c r="B2" s="262" t="s">
        <v>410</v>
      </c>
      <c r="C2" s="262"/>
      <c r="D2" s="262"/>
      <c r="E2" s="262"/>
      <c r="F2" s="262"/>
      <c r="G2" s="262"/>
      <c r="H2" s="262"/>
      <c r="I2" s="262"/>
      <c r="J2" s="262"/>
    </row>
    <row r="3" spans="1:14" ht="25.5" customHeight="1">
      <c r="B3" s="262" t="s">
        <v>451</v>
      </c>
      <c r="C3" s="262"/>
      <c r="D3" s="262"/>
      <c r="E3" s="262"/>
      <c r="F3" s="262"/>
      <c r="G3" s="262"/>
      <c r="H3" s="262"/>
      <c r="I3" s="262"/>
      <c r="J3" s="26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91" t="s">
        <v>1</v>
      </c>
      <c r="B5" s="256" t="s">
        <v>2</v>
      </c>
      <c r="C5" s="256" t="s">
        <v>3</v>
      </c>
      <c r="D5" s="293" t="s">
        <v>303</v>
      </c>
      <c r="E5" s="254" t="s">
        <v>282</v>
      </c>
      <c r="F5" s="300" t="s">
        <v>413</v>
      </c>
      <c r="G5" s="300" t="s">
        <v>44</v>
      </c>
      <c r="H5" s="298" t="s">
        <v>400</v>
      </c>
      <c r="I5" s="226" t="s">
        <v>248</v>
      </c>
      <c r="J5" s="228"/>
    </row>
    <row r="6" spans="1:14" s="4" customFormat="1" ht="36.75" customHeight="1">
      <c r="A6" s="292"/>
      <c r="B6" s="257"/>
      <c r="C6" s="257"/>
      <c r="D6" s="294"/>
      <c r="E6" s="255"/>
      <c r="F6" s="301"/>
      <c r="G6" s="301"/>
      <c r="H6" s="299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1648.1921147604239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497.75401865764809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418.98885534648298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104.74721383662074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640</v>
      </c>
      <c r="E15" s="108"/>
      <c r="F15" s="108"/>
      <c r="G15" s="201"/>
      <c r="H15" s="207">
        <f>H7+H8+H9+H10</f>
        <v>2669.6822026011755</v>
      </c>
      <c r="I15" s="133">
        <f>D14*D15</f>
        <v>222.47351688343133</v>
      </c>
      <c r="J15" s="133">
        <f>I15*12</f>
        <v>2669.682202601176</v>
      </c>
      <c r="K15" s="147">
        <f>H15-J15</f>
        <v>0</v>
      </c>
      <c r="L15" s="97"/>
      <c r="M15" s="97"/>
      <c r="N15" s="97"/>
    </row>
    <row r="16" spans="1:14" ht="54" customHeight="1">
      <c r="B16" s="271" t="s">
        <v>454</v>
      </c>
      <c r="C16" s="271"/>
      <c r="D16" s="271"/>
      <c r="E16" s="271"/>
      <c r="F16" s="271"/>
      <c r="G16" s="271"/>
      <c r="H16" s="271"/>
      <c r="I16" s="271"/>
      <c r="J16" s="271"/>
    </row>
  </sheetData>
  <mergeCells count="14">
    <mergeCell ref="B16:J16"/>
    <mergeCell ref="A5:A6"/>
    <mergeCell ref="B5:B6"/>
    <mergeCell ref="C5:C6"/>
    <mergeCell ref="D5:D6"/>
    <mergeCell ref="G5:G6"/>
    <mergeCell ref="F5:F6"/>
    <mergeCell ref="E5:E6"/>
    <mergeCell ref="B1:J1"/>
    <mergeCell ref="B2:J2"/>
    <mergeCell ref="B3:J3"/>
    <mergeCell ref="B4:J4"/>
    <mergeCell ref="I5:J5"/>
    <mergeCell ref="H5:H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61" t="s">
        <v>340</v>
      </c>
      <c r="C1" s="261"/>
      <c r="D1" s="261"/>
      <c r="E1" s="261"/>
      <c r="F1" s="261"/>
      <c r="G1" s="261"/>
      <c r="H1" s="261"/>
      <c r="I1" s="261"/>
      <c r="J1" s="261"/>
    </row>
    <row r="2" spans="1:12" ht="39" customHeight="1">
      <c r="B2" s="262" t="s">
        <v>411</v>
      </c>
      <c r="C2" s="262"/>
      <c r="D2" s="262"/>
      <c r="E2" s="262"/>
      <c r="F2" s="262"/>
      <c r="G2" s="262"/>
      <c r="H2" s="262"/>
      <c r="I2" s="262"/>
      <c r="J2" s="262"/>
    </row>
    <row r="3" spans="1:12" ht="25.5" customHeight="1">
      <c r="B3" s="262" t="s">
        <v>451</v>
      </c>
      <c r="C3" s="262"/>
      <c r="D3" s="262"/>
      <c r="E3" s="262"/>
      <c r="F3" s="262"/>
      <c r="G3" s="262"/>
      <c r="H3" s="262"/>
      <c r="I3" s="262"/>
      <c r="J3" s="26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4"/>
      <c r="B5" s="256" t="s">
        <v>28</v>
      </c>
      <c r="C5" s="256" t="s">
        <v>3</v>
      </c>
      <c r="D5" s="254" t="s">
        <v>4</v>
      </c>
      <c r="E5" s="254" t="s">
        <v>30</v>
      </c>
      <c r="F5" s="302" t="s">
        <v>467</v>
      </c>
      <c r="G5" s="302" t="s">
        <v>44</v>
      </c>
      <c r="H5" s="298" t="s">
        <v>400</v>
      </c>
      <c r="I5" s="226" t="s">
        <v>5</v>
      </c>
      <c r="J5" s="228"/>
    </row>
    <row r="6" spans="1:12" s="4" customFormat="1" ht="35.450000000000003" customHeight="1">
      <c r="A6" s="305"/>
      <c r="B6" s="257"/>
      <c r="C6" s="257"/>
      <c r="D6" s="255"/>
      <c r="E6" s="255"/>
      <c r="F6" s="303"/>
      <c r="G6" s="303"/>
      <c r="H6" s="299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38468.70009306127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11617.547428104501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9568.2128152166515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5770.3050139591915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640</v>
      </c>
      <c r="E18" s="202"/>
      <c r="F18" s="205"/>
      <c r="G18" s="205"/>
      <c r="H18" s="209">
        <f>H7+H12+H13+H14</f>
        <v>65424.765350341622</v>
      </c>
      <c r="I18" s="202">
        <f>D17*D18</f>
        <v>5452.063779195134</v>
      </c>
      <c r="J18" s="202">
        <f>I18*12</f>
        <v>65424.765350341608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71" t="s">
        <v>453</v>
      </c>
      <c r="C20" s="271"/>
      <c r="D20" s="271"/>
      <c r="E20" s="271"/>
      <c r="F20" s="271"/>
      <c r="G20" s="271"/>
      <c r="H20" s="271"/>
      <c r="I20" s="271"/>
      <c r="J20" s="271"/>
    </row>
  </sheetData>
  <mergeCells count="14">
    <mergeCell ref="B20:J20"/>
    <mergeCell ref="A5:A6"/>
    <mergeCell ref="B5:B6"/>
    <mergeCell ref="C5:C6"/>
    <mergeCell ref="D5:D6"/>
    <mergeCell ref="E5:E6"/>
    <mergeCell ref="B1:J1"/>
    <mergeCell ref="B2:J2"/>
    <mergeCell ref="B3:J3"/>
    <mergeCell ref="B4:J4"/>
    <mergeCell ref="I5:J5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61" t="s">
        <v>343</v>
      </c>
      <c r="C1" s="261"/>
      <c r="D1" s="261"/>
      <c r="E1" s="261"/>
      <c r="F1" s="261"/>
      <c r="G1" s="261"/>
    </row>
    <row r="2" spans="1:12" ht="39" customHeight="1">
      <c r="B2" s="262" t="s">
        <v>412</v>
      </c>
      <c r="C2" s="262"/>
      <c r="D2" s="262"/>
      <c r="E2" s="262"/>
      <c r="F2" s="262"/>
      <c r="G2" s="262"/>
    </row>
    <row r="3" spans="1:12" ht="29.25" customHeight="1">
      <c r="B3" s="262" t="s">
        <v>451</v>
      </c>
      <c r="C3" s="262"/>
      <c r="D3" s="262"/>
      <c r="E3" s="262"/>
      <c r="F3" s="262"/>
      <c r="G3" s="26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4"/>
      <c r="B5" s="256" t="s">
        <v>28</v>
      </c>
      <c r="C5" s="306" t="s">
        <v>3</v>
      </c>
      <c r="D5" s="254" t="s">
        <v>4</v>
      </c>
      <c r="E5" s="289" t="s">
        <v>402</v>
      </c>
      <c r="F5" s="226" t="s">
        <v>5</v>
      </c>
      <c r="G5" s="228"/>
    </row>
    <row r="6" spans="1:12" s="4" customFormat="1" ht="39" customHeight="1">
      <c r="A6" s="305"/>
      <c r="B6" s="257"/>
      <c r="C6" s="307"/>
      <c r="D6" s="255"/>
      <c r="E6" s="290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56.730871371178246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17.132723154095832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1783.7768345552354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801.81582949361064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640</v>
      </c>
      <c r="E18" s="211">
        <f>E11+E12+E13+E14</f>
        <v>2659.4562585741201</v>
      </c>
      <c r="F18" s="202">
        <f>G18/12</f>
        <v>221.62166666666667</v>
      </c>
      <c r="G18" s="202">
        <f>ROUND(G15/D16*D18,2)</f>
        <v>2659.46</v>
      </c>
      <c r="H18" s="147">
        <f>E18-G18</f>
        <v>-3.7414258799799427E-3</v>
      </c>
      <c r="I18" s="27"/>
      <c r="J18" s="28"/>
      <c r="K18" s="28"/>
      <c r="L18" s="28"/>
    </row>
    <row r="19" spans="1:12" ht="59.25" customHeight="1">
      <c r="B19" s="271" t="s">
        <v>468</v>
      </c>
      <c r="C19" s="271"/>
      <c r="D19" s="271"/>
      <c r="E19" s="271"/>
      <c r="F19" s="271"/>
      <c r="G19" s="271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A5:A6"/>
    <mergeCell ref="B5:B6"/>
    <mergeCell ref="C5:C6"/>
    <mergeCell ref="D5:D6"/>
    <mergeCell ref="F5:G5"/>
    <mergeCell ref="B19:G19"/>
    <mergeCell ref="B20:G20"/>
    <mergeCell ref="B21:G21"/>
    <mergeCell ref="B22:G22"/>
    <mergeCell ref="B1:G1"/>
    <mergeCell ref="B2:G2"/>
    <mergeCell ref="B3:G3"/>
    <mergeCell ref="B4:G4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61" t="s">
        <v>345</v>
      </c>
      <c r="C1" s="261"/>
      <c r="D1" s="261"/>
      <c r="E1" s="261"/>
      <c r="F1" s="261"/>
      <c r="G1" s="261"/>
      <c r="H1" s="261"/>
      <c r="I1" s="261"/>
    </row>
    <row r="2" spans="1:13" ht="58.5" customHeight="1">
      <c r="B2" s="262" t="s">
        <v>301</v>
      </c>
      <c r="C2" s="262"/>
      <c r="D2" s="262"/>
      <c r="E2" s="262"/>
      <c r="F2" s="262"/>
      <c r="G2" s="262"/>
      <c r="H2" s="262"/>
      <c r="I2" s="262"/>
    </row>
    <row r="3" spans="1:13" ht="25.5" customHeight="1">
      <c r="B3" s="262" t="s">
        <v>22</v>
      </c>
      <c r="C3" s="262"/>
      <c r="D3" s="262"/>
      <c r="E3" s="262"/>
      <c r="F3" s="262"/>
      <c r="G3" s="262"/>
      <c r="H3" s="262"/>
      <c r="I3" s="26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91" t="s">
        <v>1</v>
      </c>
      <c r="B5" s="256" t="s">
        <v>2</v>
      </c>
      <c r="C5" s="256" t="s">
        <v>3</v>
      </c>
      <c r="D5" s="293" t="s">
        <v>303</v>
      </c>
      <c r="E5" s="254" t="s">
        <v>282</v>
      </c>
      <c r="F5" s="300" t="s">
        <v>45</v>
      </c>
      <c r="G5" s="300" t="s">
        <v>44</v>
      </c>
      <c r="H5" s="226" t="s">
        <v>248</v>
      </c>
      <c r="I5" s="228"/>
    </row>
    <row r="6" spans="1:13" s="4" customFormat="1" ht="36.75" customHeight="1">
      <c r="A6" s="292"/>
      <c r="B6" s="257"/>
      <c r="C6" s="257"/>
      <c r="D6" s="294"/>
      <c r="E6" s="255"/>
      <c r="F6" s="301"/>
      <c r="G6" s="301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640</v>
      </c>
      <c r="E15" s="108"/>
      <c r="F15" s="108"/>
      <c r="G15" s="104"/>
      <c r="H15" s="93">
        <f>D14*D15</f>
        <v>219.71083869618806</v>
      </c>
      <c r="I15" s="93">
        <f>H15*12</f>
        <v>2636.5300643542569</v>
      </c>
      <c r="J15" s="97"/>
      <c r="K15" s="97"/>
      <c r="L15" s="97"/>
      <c r="M15" s="97"/>
    </row>
  </sheetData>
  <mergeCells count="12">
    <mergeCell ref="A5:A6"/>
    <mergeCell ref="B5:B6"/>
    <mergeCell ref="C5:C6"/>
    <mergeCell ref="D5:D6"/>
    <mergeCell ref="E5:E6"/>
    <mergeCell ref="G5:G6"/>
    <mergeCell ref="H5:I5"/>
    <mergeCell ref="B1:I1"/>
    <mergeCell ref="B2:I2"/>
    <mergeCell ref="B3:I3"/>
    <mergeCell ref="B4:I4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7" zoomScale="90" zoomScaleNormal="90" workbookViewId="0">
      <selection activeCell="R37" sqref="R37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61" t="s">
        <v>346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18" ht="58.5" customHeight="1">
      <c r="B2" s="262" t="s">
        <v>436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18" ht="23.25" customHeight="1">
      <c r="B3" s="262" t="s">
        <v>470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8" ht="18.75" customHeight="1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5" spans="1:18" ht="41.25" customHeight="1">
      <c r="B5" s="263" t="s">
        <v>249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</row>
    <row r="6" spans="1:18" ht="25.15" customHeight="1">
      <c r="B6" s="264" t="s">
        <v>250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640</v>
      </c>
      <c r="I8" s="9">
        <f>G8*H8</f>
        <v>0.24959999999999999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90.512447999999992</v>
      </c>
      <c r="Q8" s="8">
        <f>ROUND(P8*30.2/100,2)</f>
        <v>27.33</v>
      </c>
      <c r="R8" s="8">
        <f>P8+Q8</f>
        <v>117.84244799999999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90.512447999999992</v>
      </c>
      <c r="Q9" s="19">
        <f>Q8</f>
        <v>27.33</v>
      </c>
      <c r="R9" s="19">
        <f>R8</f>
        <v>117.84244799999999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72" t="s">
        <v>252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</row>
    <row r="13" spans="1:18" ht="38.25" customHeight="1">
      <c r="B13" s="260" t="s">
        <v>253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640</v>
      </c>
      <c r="I15" s="157">
        <f>G15*H15/12</f>
        <v>0.16586666666666666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60.148229333333333</v>
      </c>
      <c r="Q15" s="8">
        <f>ROUND(P15*30.2/100,2)</f>
        <v>18.16</v>
      </c>
      <c r="R15" s="8">
        <f>P15+Q15</f>
        <v>78.30822933333333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60.148229333333333</v>
      </c>
      <c r="Q16" s="19">
        <f>Q15</f>
        <v>18.16</v>
      </c>
      <c r="R16" s="19">
        <f>R15</f>
        <v>78.30822933333333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73" t="s">
        <v>255</v>
      </c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</row>
    <row r="19" spans="1:18" ht="38.25" customHeight="1">
      <c r="B19" s="274" t="s">
        <v>256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v>0</v>
      </c>
      <c r="I21" s="158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8.25" customHeight="1"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</row>
    <row r="24" spans="1:18" s="21" customFormat="1" ht="38.25" customHeight="1">
      <c r="B24" s="253" t="s">
        <v>259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</row>
    <row r="25" spans="1:18" ht="38.25" customHeight="1">
      <c r="B25" s="260" t="s">
        <v>256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v>0</v>
      </c>
      <c r="I27" s="157">
        <f>G27*H27/12</f>
        <v>0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0</v>
      </c>
      <c r="Q27" s="8">
        <f>ROUND(P27*30.2/100,2)</f>
        <v>0</v>
      </c>
      <c r="R27" s="8">
        <f>P27+Q27</f>
        <v>0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0</v>
      </c>
      <c r="Q28" s="19">
        <f>Q27</f>
        <v>0</v>
      </c>
      <c r="R28" s="19">
        <f>R27</f>
        <v>0</v>
      </c>
    </row>
    <row r="30" spans="1:18" s="21" customFormat="1" ht="38.25" customHeight="1">
      <c r="B30" s="253" t="s">
        <v>260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</row>
    <row r="31" spans="1:18" ht="38.25" customHeight="1">
      <c r="B31" s="260" t="s">
        <v>261</v>
      </c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0</v>
      </c>
      <c r="I33" s="158">
        <f>G33*H33/12</f>
        <v>0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0</v>
      </c>
      <c r="Q33" s="8">
        <f>ROUND(P33*30.2/100,2)</f>
        <v>0</v>
      </c>
      <c r="R33" s="8">
        <f>P33+Q33</f>
        <v>0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0</v>
      </c>
      <c r="Q34" s="19">
        <f>Q33</f>
        <v>0</v>
      </c>
      <c r="R34" s="19">
        <f>R33</f>
        <v>0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150.66067733333333</v>
      </c>
      <c r="Q37" s="133">
        <f t="shared" si="0"/>
        <v>45.489999999999995</v>
      </c>
      <c r="R37" s="133">
        <f>R9+R16+R22+R28+R34</f>
        <v>196.15067733333331</v>
      </c>
    </row>
    <row r="38" spans="1:20" s="21" customFormat="1" ht="38.25" customHeight="1">
      <c r="B38" s="253" t="s">
        <v>306</v>
      </c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</row>
    <row r="39" spans="1:20" ht="38.25" customHeight="1">
      <c r="B39" s="260" t="s">
        <v>261</v>
      </c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v>0</v>
      </c>
      <c r="I41" s="9">
        <f>G41*H41/12</f>
        <v>0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0</v>
      </c>
      <c r="Q41" s="8">
        <f>ROUND(P41*30.2/100,2)</f>
        <v>0</v>
      </c>
      <c r="R41" s="8">
        <f>P41+Q41</f>
        <v>0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0</v>
      </c>
      <c r="Q42" s="19">
        <f>Q41</f>
        <v>0</v>
      </c>
      <c r="R42" s="19">
        <f>R41</f>
        <v>0</v>
      </c>
    </row>
    <row r="44" spans="1:20" s="21" customFormat="1" ht="38.25" customHeight="1">
      <c r="B44" s="253" t="s">
        <v>307</v>
      </c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</row>
    <row r="45" spans="1:20" ht="38.25" customHeight="1">
      <c r="B45" s="260" t="s">
        <v>308</v>
      </c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v>0</v>
      </c>
      <c r="I47" s="158">
        <f>G47*H47/12</f>
        <v>0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0</v>
      </c>
      <c r="Q47" s="8">
        <f>ROUND(P47*30.2/100,2)</f>
        <v>0</v>
      </c>
      <c r="R47" s="8">
        <f>P47+Q47</f>
        <v>0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0</v>
      </c>
      <c r="Q48" s="19">
        <f>Q47</f>
        <v>0</v>
      </c>
      <c r="R48" s="19">
        <f>R47</f>
        <v>0</v>
      </c>
    </row>
    <row r="49" spans="1:18" ht="43.5" customHeight="1"/>
    <row r="50" spans="1:18" ht="37.5" customHeight="1">
      <c r="A50" s="108">
        <v>1</v>
      </c>
      <c r="B50" s="265" t="s">
        <v>221</v>
      </c>
      <c r="C50" s="266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150.66067733333333</v>
      </c>
      <c r="Q50" s="92">
        <f t="shared" ref="Q50:R50" si="1">Q9+Q16+Q22+Q28+Q34+Q42+Q48</f>
        <v>45.489999999999995</v>
      </c>
      <c r="R50" s="92">
        <f t="shared" si="1"/>
        <v>196.15067733333331</v>
      </c>
    </row>
    <row r="51" spans="1:18" ht="37.5" customHeight="1">
      <c r="A51" s="108">
        <v>2</v>
      </c>
      <c r="B51" s="267" t="s">
        <v>359</v>
      </c>
      <c r="C51" s="268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9" t="s">
        <v>360</v>
      </c>
      <c r="C52" s="270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150.66067733333333</v>
      </c>
      <c r="Q52" s="133">
        <f t="shared" ref="Q52:R52" si="2">Q50+Q51</f>
        <v>45.489999999999995</v>
      </c>
      <c r="R52" s="133">
        <f t="shared" si="2"/>
        <v>196.15067733333331</v>
      </c>
    </row>
    <row r="53" spans="1:18" ht="50.25" customHeight="1">
      <c r="B53" s="271" t="s">
        <v>452</v>
      </c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  <c r="P53" s="271"/>
      <c r="Q53" s="271"/>
      <c r="R53" s="271"/>
    </row>
    <row r="54" spans="1:18">
      <c r="R54" s="62"/>
    </row>
  </sheetData>
  <mergeCells count="23"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  <mergeCell ref="B39:R39"/>
    <mergeCell ref="B1:R1"/>
    <mergeCell ref="B2:R2"/>
    <mergeCell ref="B4:R4"/>
    <mergeCell ref="B5:R5"/>
    <mergeCell ref="B6:R6"/>
    <mergeCell ref="B3:R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workbookViewId="0">
      <selection activeCell="J10" sqref="J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61" t="s">
        <v>346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0" ht="44.25" customHeight="1">
      <c r="B2" s="262" t="s">
        <v>437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20" ht="24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20" ht="15.75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53" t="s">
        <v>420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</row>
    <row r="8" spans="1:20" s="22" customFormat="1" ht="43.5" customHeight="1">
      <c r="B8" s="260" t="s">
        <v>431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223.3</v>
      </c>
      <c r="I10" s="8">
        <f>G10*H10/12/2</f>
        <v>3.5355833333333333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1282.1085841666666</v>
      </c>
      <c r="Q10" s="8">
        <f>ROUND(P10*30.2/100,2)</f>
        <v>387.2</v>
      </c>
      <c r="R10" s="8">
        <f>P10+Q10</f>
        <v>1669.3085841666666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1282.1085841666666</v>
      </c>
      <c r="Q11" s="19">
        <f>Q10</f>
        <v>387.2</v>
      </c>
      <c r="R11" s="19">
        <f>R10</f>
        <v>1669.3085841666666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1282.1085841666666</v>
      </c>
      <c r="Q13" s="92">
        <f t="shared" ref="Q13:R13" si="0">Q11</f>
        <v>387.2</v>
      </c>
      <c r="R13" s="92">
        <f t="shared" si="0"/>
        <v>1669.3085841666666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f>R11*S14/100</f>
        <v>250.39628762500001</v>
      </c>
      <c r="S14" s="54">
        <v>15</v>
      </c>
      <c r="T14" s="54" t="s">
        <v>19</v>
      </c>
    </row>
    <row r="15" spans="1:20" s="21" customFormat="1" ht="32.25" customHeight="1">
      <c r="A15" s="108"/>
      <c r="B15" s="269" t="s">
        <v>360</v>
      </c>
      <c r="C15" s="270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1282.1085841666666</v>
      </c>
      <c r="Q15" s="133">
        <f t="shared" ref="Q15:R15" si="1">Q13+Q14</f>
        <v>387.2</v>
      </c>
      <c r="R15" s="133">
        <f t="shared" si="1"/>
        <v>1919.7048717916666</v>
      </c>
    </row>
    <row r="16" spans="1:20" ht="50.25" customHeight="1">
      <c r="B16" s="271" t="s">
        <v>453</v>
      </c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</row>
    <row r="20" spans="18:18">
      <c r="R20" s="62"/>
    </row>
  </sheetData>
  <mergeCells count="10">
    <mergeCell ref="B8:R8"/>
    <mergeCell ref="B13:C13"/>
    <mergeCell ref="B14:C14"/>
    <mergeCell ref="B15:C15"/>
    <mergeCell ref="B16:R16"/>
    <mergeCell ref="B1:R1"/>
    <mergeCell ref="B2:R2"/>
    <mergeCell ref="B3:R3"/>
    <mergeCell ref="B4:R4"/>
    <mergeCell ref="B7:R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P8" sqref="P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61" t="s">
        <v>348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18" ht="44.25" customHeight="1">
      <c r="B2" s="262" t="s">
        <v>438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18" ht="24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8" ht="15.75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5" spans="1:18" s="39" customFormat="1" ht="21" customHeight="1">
      <c r="B5" s="253" t="s">
        <v>297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</row>
    <row r="6" spans="1:18" s="22" customFormat="1" ht="43.5" customHeight="1">
      <c r="B6" s="260" t="s">
        <v>265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281.3</v>
      </c>
      <c r="I8" s="9">
        <f>G8*H8</f>
        <v>0.84390000000000009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306.02345700000001</v>
      </c>
      <c r="Q8" s="8">
        <f>ROUND(P8*30.2/100,2)</f>
        <v>92.42</v>
      </c>
      <c r="R8" s="8">
        <f>P8+Q8</f>
        <v>398.44345700000002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306.02345700000001</v>
      </c>
      <c r="Q9" s="19">
        <f>Q8</f>
        <v>92.42</v>
      </c>
      <c r="R9" s="19">
        <f>R8</f>
        <v>398.44345700000002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53" t="s">
        <v>310</v>
      </c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</row>
    <row r="12" spans="1:18" s="22" customFormat="1" ht="43.5" customHeight="1">
      <c r="B12" s="260" t="s">
        <v>309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f>H8</f>
        <v>281.3</v>
      </c>
      <c r="I14" s="9">
        <f>G14*H14</f>
        <v>0.56259999999999999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204.015638</v>
      </c>
      <c r="Q14" s="8">
        <f>ROUND(P14*30.2/100,2)</f>
        <v>61.61</v>
      </c>
      <c r="R14" s="8">
        <f>P14+Q14</f>
        <v>265.62563799999998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204.015638</v>
      </c>
      <c r="Q15" s="19">
        <f>Q14</f>
        <v>61.61</v>
      </c>
      <c r="R15" s="19">
        <f>R14</f>
        <v>265.62563799999998</v>
      </c>
    </row>
    <row r="17" spans="1:18" s="39" customFormat="1" ht="21" customHeight="1">
      <c r="B17" s="253" t="s">
        <v>311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</row>
    <row r="18" spans="1:18" s="22" customFormat="1" ht="43.5" customHeight="1">
      <c r="B18" s="260" t="s">
        <v>312</v>
      </c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510.03909499999997</v>
      </c>
      <c r="Q23" s="92">
        <f t="shared" ref="Q23:R23" si="0">Q9+Q15+Q21</f>
        <v>154.03</v>
      </c>
      <c r="R23" s="92">
        <f t="shared" si="0"/>
        <v>664.06909500000006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9" t="s">
        <v>360</v>
      </c>
      <c r="C25" s="270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510.03909499999997</v>
      </c>
      <c r="Q25" s="133">
        <f t="shared" ref="Q25:R25" si="1">Q23+Q24</f>
        <v>154.03</v>
      </c>
      <c r="R25" s="133">
        <f t="shared" si="1"/>
        <v>664.06909500000006</v>
      </c>
    </row>
    <row r="26" spans="1:18" ht="45.75" customHeight="1">
      <c r="B26" s="271" t="s">
        <v>454</v>
      </c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I15" sqref="I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61" t="s">
        <v>341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18" ht="27.75" customHeight="1">
      <c r="B2" s="262" t="s">
        <v>439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18" ht="27.75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8" ht="15.75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6" spans="1:18" s="39" customFormat="1" ht="14.25">
      <c r="B6" s="253" t="s">
        <v>298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</row>
    <row r="7" spans="1:18" s="22" customFormat="1" ht="33.75" customHeight="1">
      <c r="B7" s="260" t="s">
        <v>263</v>
      </c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640</v>
      </c>
      <c r="I9" s="9">
        <f>G9*H9/12</f>
        <v>0.16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52.745600000000003</v>
      </c>
      <c r="Q9" s="8">
        <f>ROUND(P9*30.2/100,2)</f>
        <v>15.93</v>
      </c>
      <c r="R9" s="8">
        <f>P9+Q9</f>
        <v>68.675600000000003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52.745600000000003</v>
      </c>
      <c r="Q10" s="19">
        <f>Q9</f>
        <v>15.93</v>
      </c>
      <c r="R10" s="19">
        <f>R9</f>
        <v>68.675600000000003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640</v>
      </c>
      <c r="I15" s="9">
        <f>G15*H15/12</f>
        <v>0.16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58.020800000000001</v>
      </c>
      <c r="Q15" s="8">
        <f>ROUND(P15*30.2/100,2)</f>
        <v>17.52</v>
      </c>
      <c r="R15" s="8">
        <f>P15+Q15</f>
        <v>75.540800000000004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58.020800000000001</v>
      </c>
      <c r="Q16" s="19">
        <f>Q15</f>
        <v>17.52</v>
      </c>
      <c r="R16" s="19">
        <f>R15</f>
        <v>75.540800000000004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110.7664</v>
      </c>
      <c r="Q18" s="92">
        <f t="shared" ref="Q18:R18" si="0">Q10+Q16</f>
        <v>33.450000000000003</v>
      </c>
      <c r="R18" s="92">
        <f t="shared" si="0"/>
        <v>144.21640000000002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10">
        <v>0</v>
      </c>
    </row>
    <row r="20" spans="1:18" s="148" customFormat="1" ht="34.5" customHeight="1">
      <c r="A20" s="132"/>
      <c r="B20" s="269" t="s">
        <v>360</v>
      </c>
      <c r="C20" s="270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110.7664</v>
      </c>
      <c r="Q20" s="133">
        <f t="shared" ref="Q20:R20" si="1">Q18+Q19</f>
        <v>33.450000000000003</v>
      </c>
      <c r="R20" s="133">
        <f t="shared" si="1"/>
        <v>144.21640000000002</v>
      </c>
    </row>
    <row r="21" spans="1:18" ht="44.25" customHeight="1">
      <c r="B21" s="271" t="s">
        <v>455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R13" sqref="R13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61" t="s">
        <v>349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18" ht="44.25" customHeight="1">
      <c r="B2" s="262" t="s">
        <v>440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18" ht="24.75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8" ht="15.75">
      <c r="B4" s="262" t="s">
        <v>456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53" t="s">
        <v>316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</row>
    <row r="8" spans="1:18" s="22" customFormat="1" ht="43.5" customHeight="1">
      <c r="B8" s="260" t="s">
        <v>317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640</v>
      </c>
      <c r="I10" s="158">
        <f>G10*H10/12</f>
        <v>0.21333333333333335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77.361066666666673</v>
      </c>
      <c r="Q10" s="8">
        <f>ROUND(P10*30.2/100,2)</f>
        <v>23.36</v>
      </c>
      <c r="R10" s="8">
        <f>P10+Q10</f>
        <v>100.72106666666667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77.361066666666673</v>
      </c>
      <c r="Q11" s="19">
        <f>Q10</f>
        <v>23.36</v>
      </c>
      <c r="R11" s="19">
        <f>R10</f>
        <v>100.72106666666667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77.361066666666673</v>
      </c>
      <c r="Q13" s="92">
        <f t="shared" ref="Q13:R13" si="0">Q11</f>
        <v>23.36</v>
      </c>
      <c r="R13" s="92">
        <f t="shared" si="0"/>
        <v>100.72106666666667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0</v>
      </c>
    </row>
    <row r="15" spans="1:18" s="148" customFormat="1" ht="34.5" customHeight="1">
      <c r="A15" s="132"/>
      <c r="B15" s="269" t="s">
        <v>360</v>
      </c>
      <c r="C15" s="270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77.361066666666673</v>
      </c>
      <c r="Q15" s="133">
        <f t="shared" ref="Q15:R15" si="1">Q13+Q14</f>
        <v>23.36</v>
      </c>
      <c r="R15" s="133">
        <f t="shared" si="1"/>
        <v>100.72106666666667</v>
      </c>
    </row>
    <row r="16" spans="1:18" ht="42" customHeight="1">
      <c r="B16" s="271" t="s">
        <v>457</v>
      </c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topLeftCell="A8" workbookViewId="0">
      <selection activeCell="J16" sqref="J16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61" t="s">
        <v>347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18" ht="37.15" customHeight="1">
      <c r="B2" s="262" t="s">
        <v>441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18" ht="27.75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18" ht="15.75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5" spans="1:18" ht="27" customHeight="1">
      <c r="B5" s="263" t="s">
        <v>269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</row>
    <row r="6" spans="1:18" ht="36" customHeight="1">
      <c r="B6" s="264" t="s">
        <v>271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v>0</v>
      </c>
      <c r="I8" s="9">
        <f>G8*H8/12</f>
        <v>0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0</v>
      </c>
      <c r="Q8" s="8">
        <f>ROUND(P8*30.2/100,2)</f>
        <v>0</v>
      </c>
      <c r="R8" s="8">
        <f>P8+Q8</f>
        <v>0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0</v>
      </c>
      <c r="Q9" s="19">
        <f>Q8</f>
        <v>0</v>
      </c>
      <c r="R9" s="19">
        <f>R8</f>
        <v>0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0" t="s">
        <v>272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640</v>
      </c>
      <c r="I15" s="9">
        <f>G15*H15/12</f>
        <v>0.22400000000000006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81.229120000000023</v>
      </c>
      <c r="Q15" s="8">
        <f>ROUND(P15*30.2/100,2)</f>
        <v>24.53</v>
      </c>
      <c r="R15" s="8">
        <f>P15+Q15</f>
        <v>105.75912000000002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81.229120000000023</v>
      </c>
      <c r="Q16" s="19">
        <f>Q15</f>
        <v>24.53</v>
      </c>
      <c r="R16" s="19">
        <f>R15</f>
        <v>105.75912000000002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>
        <v>640</v>
      </c>
      <c r="I21" s="9">
        <f>G21*H21/12</f>
        <v>0.22400000000000006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81.229120000000023</v>
      </c>
      <c r="Q21" s="8">
        <f>ROUND(P21*30.2/100,2)</f>
        <v>24.53</v>
      </c>
      <c r="R21" s="8">
        <f>P21+Q21</f>
        <v>105.75912000000002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81.229120000000023</v>
      </c>
      <c r="Q22" s="19">
        <f>Q21</f>
        <v>24.53</v>
      </c>
      <c r="R22" s="19">
        <f>R21</f>
        <v>105.75912000000002</v>
      </c>
    </row>
    <row r="23" spans="1:18" ht="30" customHeight="1">
      <c r="B23" s="274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162.45824000000005</v>
      </c>
      <c r="Q24" s="92">
        <f t="shared" ref="Q24:R24" si="0">Q9+Q16+Q22</f>
        <v>49.06</v>
      </c>
      <c r="R24" s="92">
        <f t="shared" si="0"/>
        <v>211.51824000000005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9" t="s">
        <v>360</v>
      </c>
      <c r="C26" s="270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162.45824000000005</v>
      </c>
      <c r="Q26" s="133">
        <f t="shared" ref="Q26:R26" si="1">Q24+Q25</f>
        <v>49.06</v>
      </c>
      <c r="R26" s="133">
        <f t="shared" si="1"/>
        <v>211.51824000000005</v>
      </c>
    </row>
    <row r="27" spans="1:18" s="22" customFormat="1" ht="44.25" customHeight="1">
      <c r="B27" s="271" t="s">
        <v>458</v>
      </c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3" workbookViewId="0">
      <selection activeCell="R30" sqref="R30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61" t="s">
        <v>350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0" ht="39" customHeight="1">
      <c r="B2" s="262" t="s">
        <v>442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20" ht="39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20" ht="15.75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5" spans="1:20" ht="27" customHeight="1">
      <c r="B5" s="263" t="s">
        <v>320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</row>
    <row r="6" spans="1:20" ht="42.75" customHeight="1">
      <c r="B6" s="264" t="s">
        <v>321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12</v>
      </c>
      <c r="I8" s="9">
        <f>G8*H8/12</f>
        <v>0.6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217.578</v>
      </c>
      <c r="Q8" s="8">
        <f>ROUND(P8*30.2/100,2)</f>
        <v>65.709999999999994</v>
      </c>
      <c r="R8" s="8">
        <f>P8+Q8</f>
        <v>283.28800000000001</v>
      </c>
      <c r="T8" s="28">
        <v>12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217.578</v>
      </c>
      <c r="Q9" s="19">
        <f>Q8</f>
        <v>65.709999999999994</v>
      </c>
      <c r="R9" s="19">
        <f>R8</f>
        <v>283.28800000000001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63" t="s">
        <v>377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</row>
    <row r="12" spans="1:20" ht="42.75" customHeight="1">
      <c r="B12" s="264" t="s">
        <v>373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4</v>
      </c>
      <c r="I14" s="9">
        <f>G14*H14</f>
        <v>4.8000000000000007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1740.6240000000003</v>
      </c>
      <c r="Q14" s="8">
        <f>ROUND(P14*30.2/100,2)</f>
        <v>525.66999999999996</v>
      </c>
      <c r="R14" s="8">
        <f>P14+Q14</f>
        <v>2266.2940000000003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1740.6240000000003</v>
      </c>
      <c r="Q15" s="19">
        <f>Q14</f>
        <v>525.66999999999996</v>
      </c>
      <c r="R15" s="19">
        <f>R14</f>
        <v>2266.2940000000003</v>
      </c>
    </row>
    <row r="16" spans="1:20" ht="15"/>
    <row r="17" spans="1:20" ht="27" customHeight="1">
      <c r="B17" s="263" t="s">
        <v>378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</row>
    <row r="18" spans="1:20" ht="42.75" customHeight="1">
      <c r="B18" s="264" t="s">
        <v>379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4</v>
      </c>
      <c r="I20" s="9">
        <f>G20*H20</f>
        <v>2.88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1044.3743999999999</v>
      </c>
      <c r="Q20" s="8">
        <f>ROUND(P20*30.2/100,2)</f>
        <v>315.39999999999998</v>
      </c>
      <c r="R20" s="8">
        <f>P20+Q20</f>
        <v>1359.7743999999998</v>
      </c>
      <c r="T20" s="194">
        <v>4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1044.3743999999999</v>
      </c>
      <c r="Q21" s="19">
        <f>Q20</f>
        <v>315.39999999999998</v>
      </c>
      <c r="R21" s="19">
        <f>R20</f>
        <v>1359.7743999999998</v>
      </c>
    </row>
    <row r="23" spans="1:20" ht="27" customHeight="1">
      <c r="B23" s="263" t="s">
        <v>382</v>
      </c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</row>
    <row r="24" spans="1:20" ht="42.75" customHeight="1">
      <c r="B24" s="264" t="s">
        <v>383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4</v>
      </c>
      <c r="I26" s="9">
        <f>G26*H26</f>
        <v>1.04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377.1352</v>
      </c>
      <c r="Q26" s="8">
        <f>ROUND(P26*30.2/100,2)</f>
        <v>113.89</v>
      </c>
      <c r="R26" s="8">
        <f>P26+Q26</f>
        <v>491.02519999999998</v>
      </c>
      <c r="T26" s="194">
        <v>4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377.1352</v>
      </c>
      <c r="Q27" s="19">
        <f>Q26</f>
        <v>113.89</v>
      </c>
      <c r="R27" s="19">
        <f>R26</f>
        <v>491.02519999999998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3379.7116000000001</v>
      </c>
      <c r="Q29" s="92">
        <f t="shared" ref="Q29:R29" si="0">Q9+Q15+Q21+Q27</f>
        <v>1020.67</v>
      </c>
      <c r="R29" s="92">
        <f t="shared" si="0"/>
        <v>4400.3815999999997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3556.23</v>
      </c>
    </row>
    <row r="31" spans="1:20" s="40" customFormat="1" ht="24" customHeight="1">
      <c r="A31" s="108"/>
      <c r="B31" s="269" t="s">
        <v>360</v>
      </c>
      <c r="C31" s="270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3379.7116000000001</v>
      </c>
      <c r="Q31" s="133">
        <f t="shared" ref="Q31:R31" si="1">Q29+Q30</f>
        <v>1020.67</v>
      </c>
      <c r="R31" s="133">
        <f t="shared" si="1"/>
        <v>7956.6116000000002</v>
      </c>
    </row>
    <row r="32" spans="1:20" ht="44.25" customHeight="1">
      <c r="B32" s="271" t="s">
        <v>459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A7" zoomScale="90" zoomScaleNormal="90" workbookViewId="0">
      <selection activeCell="I8" sqref="I8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61" t="s">
        <v>351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0" ht="39" customHeight="1">
      <c r="B2" s="262" t="s">
        <v>443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20" ht="33.75" customHeight="1">
      <c r="B3" s="262" t="str">
        <f>'1.1.1. Осмотр несущ.констр.'!B3:R3</f>
        <v>с.Чечеул, ул.Новая, д.6а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20" ht="22.5" customHeight="1">
      <c r="B4" s="262" t="s">
        <v>451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</row>
    <row r="5" spans="1:20" ht="27" customHeight="1">
      <c r="B5" s="263" t="s">
        <v>324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</row>
    <row r="6" spans="1:20" ht="42.75" customHeight="1">
      <c r="B6" s="264" t="s">
        <v>325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12</v>
      </c>
      <c r="I8" s="9">
        <f>G8*H8/12</f>
        <v>0.6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217.578</v>
      </c>
      <c r="Q8" s="8">
        <f>ROUND(P8*30.2/100,2)</f>
        <v>65.709999999999994</v>
      </c>
      <c r="R8" s="8">
        <f>P8+Q8</f>
        <v>283.28800000000001</v>
      </c>
      <c r="T8" s="28">
        <v>60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217.578</v>
      </c>
      <c r="Q9" s="19">
        <f>Q8</f>
        <v>65.709999999999994</v>
      </c>
      <c r="R9" s="19">
        <f>R8</f>
        <v>283.28800000000001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63" t="s">
        <v>326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</row>
    <row r="12" spans="1:20" ht="42.75" customHeight="1">
      <c r="B12" s="264" t="s">
        <v>327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  <c r="N12" s="264"/>
      <c r="O12" s="264"/>
      <c r="P12" s="264"/>
      <c r="Q12" s="264"/>
      <c r="R12" s="26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640</v>
      </c>
      <c r="I14" s="9">
        <f>G14*H14/12</f>
        <v>0.22400000000000006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81.229120000000023</v>
      </c>
      <c r="Q14" s="8">
        <f>ROUND(P14*30.2/100,2)</f>
        <v>24.53</v>
      </c>
      <c r="R14" s="8">
        <f>P14+Q14</f>
        <v>105.75912000000002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81.229120000000023</v>
      </c>
      <c r="Q15" s="19">
        <f>Q14</f>
        <v>24.53</v>
      </c>
      <c r="R15" s="19">
        <f>R14</f>
        <v>105.75912000000002</v>
      </c>
    </row>
    <row r="16" spans="1:20" ht="15"/>
    <row r="17" spans="1:21" ht="27" customHeight="1">
      <c r="B17" s="263" t="s">
        <v>329</v>
      </c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</row>
    <row r="18" spans="1:21" ht="42.75" customHeight="1">
      <c r="B18" s="264" t="s">
        <v>330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0</v>
      </c>
      <c r="I20" s="9">
        <f>G20*H20/12</f>
        <v>0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298.80712000000005</v>
      </c>
      <c r="Q23" s="92">
        <f t="shared" ref="Q23:R23" si="0">Q9+Q15+Q21</f>
        <v>90.24</v>
      </c>
      <c r="R23" s="92">
        <f t="shared" si="0"/>
        <v>389.04712000000006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0</v>
      </c>
    </row>
    <row r="25" spans="1:21" ht="36" customHeight="1">
      <c r="A25" s="108"/>
      <c r="B25" s="269" t="s">
        <v>360</v>
      </c>
      <c r="C25" s="270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298.80712000000005</v>
      </c>
      <c r="Q25" s="133">
        <f t="shared" ref="Q25:R25" si="1">Q23+Q24</f>
        <v>90.24</v>
      </c>
      <c r="R25" s="133">
        <f t="shared" si="1"/>
        <v>389.04712000000006</v>
      </c>
    </row>
    <row r="26" spans="1:21" ht="38.25" customHeight="1">
      <c r="B26" s="271" t="s">
        <v>460</v>
      </c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</row>
  </sheetData>
  <mergeCells count="14">
    <mergeCell ref="B26:R26"/>
    <mergeCell ref="B23:C23"/>
    <mergeCell ref="B24:C24"/>
    <mergeCell ref="B25:C25"/>
    <mergeCell ref="B12:R12"/>
    <mergeCell ref="B17:R17"/>
    <mergeCell ref="B18:R18"/>
    <mergeCell ref="B11:R11"/>
    <mergeCell ref="B3:R3"/>
    <mergeCell ref="B1:R1"/>
    <mergeCell ref="B2:R2"/>
    <mergeCell ref="B4:R4"/>
    <mergeCell ref="B5:R5"/>
    <mergeCell ref="B6:R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2026-08-24T02:08:15Z</dcterms:modified>
</cp:coreProperties>
</file>